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\GERENCIA_ADMINISTRATIVA\Leticia\Portal da transparência\"/>
    </mc:Choice>
  </mc:AlternateContent>
  <bookViews>
    <workbookView xWindow="0" yWindow="0" windowWidth="24000" windowHeight="9735" activeTab="11"/>
  </bookViews>
  <sheets>
    <sheet name="Jan" sheetId="9" r:id="rId1"/>
    <sheet name="Fev" sheetId="8" r:id="rId2"/>
    <sheet name="Mar" sheetId="5" r:id="rId3"/>
    <sheet name="Abr" sheetId="1" r:id="rId4"/>
    <sheet name="Mai" sheetId="7" r:id="rId5"/>
    <sheet name="Jun" sheetId="10" r:id="rId6"/>
    <sheet name="Jul" sheetId="11" r:id="rId7"/>
    <sheet name="Ago" sheetId="12" r:id="rId8"/>
    <sheet name="Set" sheetId="13" r:id="rId9"/>
    <sheet name="Out" sheetId="14" r:id="rId10"/>
    <sheet name="Nov" sheetId="15" r:id="rId11"/>
    <sheet name="Dez" sheetId="16" r:id="rId12"/>
  </sheets>
  <definedNames>
    <definedName name="_xlnm._FilterDatabase" localSheetId="3" hidden="1">Abr!$A$4:$T$63</definedName>
    <definedName name="_xlnm._FilterDatabase" localSheetId="7" hidden="1">Ago!$A$4:$U$63</definedName>
    <definedName name="_xlnm._FilterDatabase" localSheetId="11" hidden="1">Dez!$A$4:$U$101</definedName>
    <definedName name="_xlnm._FilterDatabase" localSheetId="1" hidden="1">Fev!$A$4:$T$62</definedName>
    <definedName name="_xlnm._FilterDatabase" localSheetId="0" hidden="1">Jan!$A$4:$T$63</definedName>
    <definedName name="_xlnm._FilterDatabase" localSheetId="6" hidden="1">Jul!$A$4:$U$59</definedName>
    <definedName name="_xlnm._FilterDatabase" localSheetId="5" hidden="1">Jun!$A$4:$U$61</definedName>
    <definedName name="_xlnm._FilterDatabase" localSheetId="4" hidden="1">Mai!$A$4:$V$61</definedName>
    <definedName name="_xlnm._FilterDatabase" localSheetId="2" hidden="1">Mar!$A$4:$T$51</definedName>
    <definedName name="_xlnm._FilterDatabase" localSheetId="10" hidden="1">Nov!$A$4:$U$109</definedName>
    <definedName name="_xlnm._FilterDatabase" localSheetId="9" hidden="1">Out!$A$4:$U$63</definedName>
    <definedName name="_xlnm._FilterDatabase" localSheetId="8" hidden="1">Set!$A$4:$U$63</definedName>
    <definedName name="_xlnm.Print_Area" localSheetId="3">Abr!$A$1:$T$63</definedName>
    <definedName name="_xlnm.Print_Area" localSheetId="7">Ago!$A$1:$U$63</definedName>
    <definedName name="_xlnm.Print_Area" localSheetId="11">Dez!$A$1:$U$102</definedName>
    <definedName name="_xlnm.Print_Area" localSheetId="1">Fev!$A$1:$T$62</definedName>
    <definedName name="_xlnm.Print_Area" localSheetId="0">Jan!$A$1:$T$63</definedName>
    <definedName name="_xlnm.Print_Area" localSheetId="6">Jul!$A$1:$U$56</definedName>
    <definedName name="_xlnm.Print_Area" localSheetId="5">Jun!$A$1:$U$57</definedName>
    <definedName name="_xlnm.Print_Area" localSheetId="4">Mai!$A$1:$V$61</definedName>
    <definedName name="_xlnm.Print_Area" localSheetId="2">Mar!$A$1:$T$51</definedName>
    <definedName name="_xlnm.Print_Area" localSheetId="10">Nov!$A$1:$U$103</definedName>
    <definedName name="_xlnm.Print_Area" localSheetId="9">Out!$A$1:$U$63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5" l="1"/>
  <c r="P20" i="15"/>
  <c r="P31" i="15"/>
  <c r="Q31" i="15"/>
  <c r="G31" i="15"/>
  <c r="G31" i="16"/>
  <c r="H102" i="16"/>
  <c r="P34" i="15" l="1"/>
  <c r="Q34" i="15"/>
  <c r="G34" i="16"/>
  <c r="G34" i="15"/>
  <c r="P32" i="15"/>
  <c r="Q32" i="15"/>
  <c r="G32" i="16"/>
  <c r="G32" i="15"/>
  <c r="Q23" i="15"/>
  <c r="E59" i="16" l="1"/>
  <c r="H59" i="16" s="1"/>
  <c r="E60" i="16"/>
  <c r="H60" i="16"/>
  <c r="H61" i="16"/>
  <c r="E62" i="16"/>
  <c r="H62" i="16" s="1"/>
  <c r="E63" i="16"/>
  <c r="H63" i="16"/>
  <c r="H64" i="16"/>
  <c r="H65" i="16"/>
  <c r="E66" i="16"/>
  <c r="H66" i="16"/>
  <c r="H67" i="16"/>
  <c r="H68" i="16"/>
  <c r="E69" i="16"/>
  <c r="H69" i="16"/>
  <c r="E70" i="16"/>
  <c r="H70" i="16" s="1"/>
  <c r="H71" i="16"/>
  <c r="H72" i="16"/>
  <c r="H73" i="16"/>
  <c r="E74" i="16"/>
  <c r="H74" i="16"/>
  <c r="E75" i="16"/>
  <c r="H75" i="16" s="1"/>
  <c r="E76" i="16"/>
  <c r="H76" i="16"/>
  <c r="H77" i="16"/>
  <c r="E78" i="16"/>
  <c r="H78" i="16" s="1"/>
  <c r="E79" i="16"/>
  <c r="H79" i="16"/>
  <c r="E80" i="16"/>
  <c r="H80" i="16" s="1"/>
  <c r="E81" i="16"/>
  <c r="H81" i="16"/>
  <c r="H82" i="16"/>
  <c r="E83" i="16"/>
  <c r="H83" i="16"/>
  <c r="H84" i="16"/>
  <c r="H85" i="16"/>
  <c r="E86" i="16"/>
  <c r="H86" i="16"/>
  <c r="E87" i="16"/>
  <c r="H87" i="16" s="1"/>
  <c r="E88" i="16"/>
  <c r="H88" i="16"/>
  <c r="E89" i="16"/>
  <c r="H89" i="16" s="1"/>
  <c r="H90" i="16"/>
  <c r="E91" i="16"/>
  <c r="H91" i="16"/>
  <c r="E92" i="16"/>
  <c r="H92" i="16" s="1"/>
  <c r="E93" i="16"/>
  <c r="H93" i="16"/>
  <c r="E94" i="16"/>
  <c r="H94" i="16" s="1"/>
  <c r="E95" i="16"/>
  <c r="H95" i="16"/>
  <c r="E96" i="16"/>
  <c r="H96" i="16" s="1"/>
  <c r="E97" i="16"/>
  <c r="H97" i="16"/>
  <c r="E98" i="16"/>
  <c r="H98" i="16" s="1"/>
  <c r="H99" i="16"/>
  <c r="E100" i="16"/>
  <c r="H100" i="16" s="1"/>
  <c r="E101" i="16"/>
  <c r="H101" i="16"/>
  <c r="P37" i="16"/>
  <c r="P48" i="16"/>
  <c r="Q48" i="16"/>
  <c r="G48" i="16"/>
  <c r="G17" i="16"/>
  <c r="Q34" i="16"/>
  <c r="Q9" i="16" l="1"/>
  <c r="G9" i="16"/>
  <c r="R46" i="16" l="1"/>
  <c r="R41" i="16"/>
  <c r="R17" i="16"/>
  <c r="R9" i="16"/>
  <c r="R5" i="16"/>
  <c r="G41" i="16"/>
  <c r="G47" i="16"/>
  <c r="G45" i="16"/>
  <c r="G6" i="16"/>
  <c r="G39" i="16"/>
  <c r="G51" i="16"/>
  <c r="G38" i="16"/>
  <c r="R50" i="16"/>
  <c r="G50" i="16"/>
  <c r="H12" i="15" l="1"/>
  <c r="G43" i="15" l="1"/>
  <c r="G45" i="15"/>
  <c r="G6" i="15"/>
  <c r="G24" i="15"/>
  <c r="G38" i="15"/>
  <c r="G50" i="15"/>
  <c r="G48" i="15"/>
  <c r="R34" i="15"/>
  <c r="R32" i="15"/>
  <c r="G29" i="15"/>
  <c r="T6" i="16" l="1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J56" i="16"/>
  <c r="I56" i="16"/>
  <c r="H56" i="16"/>
  <c r="K55" i="16"/>
  <c r="O55" i="16" s="1"/>
  <c r="K54" i="16"/>
  <c r="O54" i="16" s="1"/>
  <c r="K53" i="16"/>
  <c r="O53" i="16" s="1"/>
  <c r="K52" i="16"/>
  <c r="O52" i="16" s="1"/>
  <c r="K51" i="16"/>
  <c r="O51" i="16" s="1"/>
  <c r="U51" i="16" s="1"/>
  <c r="K50" i="16"/>
  <c r="O50" i="16" s="1"/>
  <c r="K49" i="16"/>
  <c r="O49" i="16" s="1"/>
  <c r="K48" i="16"/>
  <c r="O48" i="16" s="1"/>
  <c r="K47" i="16"/>
  <c r="O47" i="16" s="1"/>
  <c r="U47" i="16" s="1"/>
  <c r="K46" i="16"/>
  <c r="O46" i="16" s="1"/>
  <c r="K45" i="16"/>
  <c r="O45" i="16" s="1"/>
  <c r="K44" i="16"/>
  <c r="O44" i="16" s="1"/>
  <c r="K43" i="16"/>
  <c r="O43" i="16" s="1"/>
  <c r="K42" i="16"/>
  <c r="O42" i="16" s="1"/>
  <c r="K41" i="16"/>
  <c r="O41" i="16" s="1"/>
  <c r="K40" i="16"/>
  <c r="O40" i="16" s="1"/>
  <c r="K39" i="16"/>
  <c r="O39" i="16" s="1"/>
  <c r="U39" i="16" s="1"/>
  <c r="K38" i="16"/>
  <c r="O38" i="16" s="1"/>
  <c r="K37" i="16"/>
  <c r="O37" i="16" s="1"/>
  <c r="K36" i="16"/>
  <c r="O36" i="16" s="1"/>
  <c r="K35" i="16"/>
  <c r="O35" i="16" s="1"/>
  <c r="K34" i="16"/>
  <c r="O34" i="16" s="1"/>
  <c r="K33" i="16"/>
  <c r="O33" i="16" s="1"/>
  <c r="K32" i="16"/>
  <c r="O32" i="16" s="1"/>
  <c r="K31" i="16"/>
  <c r="O31" i="16" s="1"/>
  <c r="U31" i="16" s="1"/>
  <c r="K30" i="16"/>
  <c r="O30" i="16" s="1"/>
  <c r="K29" i="16"/>
  <c r="O29" i="16" s="1"/>
  <c r="K28" i="16"/>
  <c r="O28" i="16" s="1"/>
  <c r="K27" i="16"/>
  <c r="O27" i="16" s="1"/>
  <c r="K26" i="16"/>
  <c r="O26" i="16" s="1"/>
  <c r="K25" i="16"/>
  <c r="O25" i="16" s="1"/>
  <c r="K24" i="16"/>
  <c r="O24" i="16" s="1"/>
  <c r="K23" i="16"/>
  <c r="O23" i="16" s="1"/>
  <c r="K22" i="16"/>
  <c r="O22" i="16" s="1"/>
  <c r="K21" i="16"/>
  <c r="O21" i="16" s="1"/>
  <c r="K20" i="16"/>
  <c r="O20" i="16" s="1"/>
  <c r="K19" i="16"/>
  <c r="O19" i="16" s="1"/>
  <c r="K18" i="16"/>
  <c r="O18" i="16" s="1"/>
  <c r="K17" i="16"/>
  <c r="O17" i="16" s="1"/>
  <c r="K16" i="16"/>
  <c r="O16" i="16" s="1"/>
  <c r="K15" i="16"/>
  <c r="O15" i="16" s="1"/>
  <c r="K14" i="16"/>
  <c r="O14" i="16" s="1"/>
  <c r="K13" i="16"/>
  <c r="O13" i="16" s="1"/>
  <c r="K12" i="16"/>
  <c r="O12" i="16" s="1"/>
  <c r="K11" i="16"/>
  <c r="O11" i="16" s="1"/>
  <c r="K10" i="16"/>
  <c r="O10" i="16" s="1"/>
  <c r="K9" i="16"/>
  <c r="O9" i="16" s="1"/>
  <c r="K8" i="16"/>
  <c r="O8" i="16" s="1"/>
  <c r="K7" i="16"/>
  <c r="O7" i="16" s="1"/>
  <c r="K6" i="16"/>
  <c r="O6" i="16" s="1"/>
  <c r="T5" i="16"/>
  <c r="K5" i="16"/>
  <c r="O5" i="16" s="1"/>
  <c r="U12" i="16" l="1"/>
  <c r="U24" i="16"/>
  <c r="U28" i="16"/>
  <c r="U54" i="16"/>
  <c r="U20" i="16"/>
  <c r="U35" i="16"/>
  <c r="U16" i="16"/>
  <c r="U8" i="16"/>
  <c r="U44" i="16"/>
  <c r="U42" i="16"/>
  <c r="U6" i="16"/>
  <c r="U14" i="16"/>
  <c r="U22" i="16"/>
  <c r="U26" i="16"/>
  <c r="U30" i="16"/>
  <c r="U33" i="16"/>
  <c r="U37" i="16"/>
  <c r="U41" i="16"/>
  <c r="U10" i="16"/>
  <c r="U18" i="16"/>
  <c r="U49" i="16"/>
  <c r="U53" i="16"/>
  <c r="U5" i="16"/>
  <c r="U7" i="16"/>
  <c r="U9" i="16"/>
  <c r="U11" i="16"/>
  <c r="U13" i="16"/>
  <c r="U15" i="16"/>
  <c r="U17" i="16"/>
  <c r="U19" i="16"/>
  <c r="U21" i="16"/>
  <c r="U23" i="16"/>
  <c r="U25" i="16"/>
  <c r="U27" i="16"/>
  <c r="U29" i="16"/>
  <c r="U32" i="16"/>
  <c r="U34" i="16"/>
  <c r="U36" i="16"/>
  <c r="U38" i="16"/>
  <c r="U40" i="16"/>
  <c r="U46" i="16"/>
  <c r="U48" i="16"/>
  <c r="U55" i="16"/>
  <c r="U43" i="16"/>
  <c r="U45" i="16"/>
  <c r="U50" i="16"/>
  <c r="U52" i="16"/>
  <c r="J56" i="15"/>
  <c r="U56" i="16" l="1"/>
  <c r="T54" i="15"/>
  <c r="T42" i="15"/>
  <c r="T32" i="15"/>
  <c r="T29" i="15"/>
  <c r="T22" i="15"/>
  <c r="T20" i="15"/>
  <c r="I56" i="15"/>
  <c r="H56" i="15"/>
  <c r="T55" i="15"/>
  <c r="K55" i="15"/>
  <c r="O55" i="15" s="1"/>
  <c r="K54" i="15"/>
  <c r="O54" i="15" s="1"/>
  <c r="T53" i="15"/>
  <c r="K53" i="15"/>
  <c r="O53" i="15" s="1"/>
  <c r="T52" i="15"/>
  <c r="K52" i="15"/>
  <c r="O52" i="15" s="1"/>
  <c r="T51" i="15"/>
  <c r="K51" i="15"/>
  <c r="O51" i="15" s="1"/>
  <c r="T50" i="15"/>
  <c r="K50" i="15"/>
  <c r="O50" i="15" s="1"/>
  <c r="T49" i="15"/>
  <c r="K49" i="15"/>
  <c r="O49" i="15" s="1"/>
  <c r="T48" i="15"/>
  <c r="K48" i="15"/>
  <c r="O48" i="15" s="1"/>
  <c r="T47" i="15"/>
  <c r="K47" i="15"/>
  <c r="O47" i="15" s="1"/>
  <c r="T46" i="15"/>
  <c r="K46" i="15"/>
  <c r="O46" i="15" s="1"/>
  <c r="T45" i="15"/>
  <c r="K45" i="15"/>
  <c r="O45" i="15" s="1"/>
  <c r="T44" i="15"/>
  <c r="K44" i="15"/>
  <c r="O44" i="15" s="1"/>
  <c r="T43" i="15"/>
  <c r="K43" i="15"/>
  <c r="O43" i="15" s="1"/>
  <c r="K42" i="15"/>
  <c r="O42" i="15" s="1"/>
  <c r="T41" i="15"/>
  <c r="K41" i="15"/>
  <c r="O41" i="15" s="1"/>
  <c r="T40" i="15"/>
  <c r="K40" i="15"/>
  <c r="O40" i="15" s="1"/>
  <c r="T39" i="15"/>
  <c r="K39" i="15"/>
  <c r="O39" i="15" s="1"/>
  <c r="T38" i="15"/>
  <c r="K38" i="15"/>
  <c r="O38" i="15" s="1"/>
  <c r="T37" i="15"/>
  <c r="K37" i="15"/>
  <c r="O37" i="15" s="1"/>
  <c r="T36" i="15"/>
  <c r="K36" i="15"/>
  <c r="O36" i="15" s="1"/>
  <c r="T35" i="15"/>
  <c r="K35" i="15"/>
  <c r="O35" i="15" s="1"/>
  <c r="T34" i="15"/>
  <c r="K34" i="15"/>
  <c r="O34" i="15" s="1"/>
  <c r="T33" i="15"/>
  <c r="K33" i="15"/>
  <c r="O33" i="15" s="1"/>
  <c r="K32" i="15"/>
  <c r="O32" i="15" s="1"/>
  <c r="T31" i="15"/>
  <c r="K31" i="15"/>
  <c r="O31" i="15" s="1"/>
  <c r="T30" i="15"/>
  <c r="K30" i="15"/>
  <c r="O30" i="15" s="1"/>
  <c r="K29" i="15"/>
  <c r="O29" i="15" s="1"/>
  <c r="T28" i="15"/>
  <c r="K28" i="15"/>
  <c r="O28" i="15" s="1"/>
  <c r="T27" i="15"/>
  <c r="K27" i="15"/>
  <c r="O27" i="15" s="1"/>
  <c r="T26" i="15"/>
  <c r="K26" i="15"/>
  <c r="O26" i="15" s="1"/>
  <c r="T25" i="15"/>
  <c r="K25" i="15"/>
  <c r="O25" i="15" s="1"/>
  <c r="T24" i="15"/>
  <c r="K24" i="15"/>
  <c r="O24" i="15" s="1"/>
  <c r="T23" i="15"/>
  <c r="K23" i="15"/>
  <c r="O23" i="15" s="1"/>
  <c r="K22" i="15"/>
  <c r="O22" i="15" s="1"/>
  <c r="T21" i="15"/>
  <c r="K21" i="15"/>
  <c r="O21" i="15" s="1"/>
  <c r="K20" i="15"/>
  <c r="O20" i="15" s="1"/>
  <c r="T19" i="15"/>
  <c r="K19" i="15"/>
  <c r="O19" i="15" s="1"/>
  <c r="T18" i="15"/>
  <c r="K18" i="15"/>
  <c r="O18" i="15" s="1"/>
  <c r="T17" i="15"/>
  <c r="K17" i="15"/>
  <c r="O17" i="15" s="1"/>
  <c r="T16" i="15"/>
  <c r="K16" i="15"/>
  <c r="O16" i="15" s="1"/>
  <c r="T15" i="15"/>
  <c r="K15" i="15"/>
  <c r="O15" i="15" s="1"/>
  <c r="T14" i="15"/>
  <c r="K14" i="15"/>
  <c r="O14" i="15" s="1"/>
  <c r="T13" i="15"/>
  <c r="K13" i="15"/>
  <c r="O13" i="15" s="1"/>
  <c r="T12" i="15"/>
  <c r="K12" i="15"/>
  <c r="O12" i="15" s="1"/>
  <c r="T11" i="15"/>
  <c r="K11" i="15"/>
  <c r="O11" i="15" s="1"/>
  <c r="T10" i="15"/>
  <c r="K10" i="15"/>
  <c r="O10" i="15" s="1"/>
  <c r="T9" i="15"/>
  <c r="K9" i="15"/>
  <c r="O9" i="15" s="1"/>
  <c r="T8" i="15"/>
  <c r="K8" i="15"/>
  <c r="O8" i="15" s="1"/>
  <c r="T7" i="15"/>
  <c r="K7" i="15"/>
  <c r="O7" i="15" s="1"/>
  <c r="T6" i="15"/>
  <c r="K6" i="15"/>
  <c r="O6" i="15" s="1"/>
  <c r="T5" i="15"/>
  <c r="K5" i="15"/>
  <c r="O5" i="15" s="1"/>
  <c r="U7" i="15" l="1"/>
  <c r="U42" i="15"/>
  <c r="U34" i="15"/>
  <c r="U37" i="15"/>
  <c r="U36" i="15"/>
  <c r="U19" i="15"/>
  <c r="U35" i="15"/>
  <c r="U27" i="15"/>
  <c r="U11" i="15"/>
  <c r="U5" i="15"/>
  <c r="U12" i="15"/>
  <c r="U14" i="15"/>
  <c r="U21" i="15"/>
  <c r="U28" i="15"/>
  <c r="U30" i="15"/>
  <c r="U6" i="15"/>
  <c r="U13" i="15"/>
  <c r="U20" i="15"/>
  <c r="U22" i="15"/>
  <c r="U29" i="15"/>
  <c r="U8" i="15"/>
  <c r="U10" i="15"/>
  <c r="U15" i="15"/>
  <c r="U17" i="15"/>
  <c r="U24" i="15"/>
  <c r="U26" i="15"/>
  <c r="U32" i="15"/>
  <c r="U39" i="15"/>
  <c r="U41" i="15"/>
  <c r="U43" i="15"/>
  <c r="U45" i="15"/>
  <c r="U47" i="15"/>
  <c r="U49" i="15"/>
  <c r="U51" i="15"/>
  <c r="U53" i="15"/>
  <c r="U55" i="15"/>
  <c r="U9" i="15"/>
  <c r="U16" i="15"/>
  <c r="U18" i="15"/>
  <c r="U23" i="15"/>
  <c r="U25" i="15"/>
  <c r="U31" i="15"/>
  <c r="U33" i="15"/>
  <c r="U38" i="15"/>
  <c r="U40" i="15"/>
  <c r="U44" i="15"/>
  <c r="U46" i="15"/>
  <c r="U48" i="15"/>
  <c r="U50" i="15"/>
  <c r="U52" i="15"/>
  <c r="U54" i="15"/>
  <c r="H62" i="14"/>
  <c r="H63" i="14"/>
  <c r="H61" i="14"/>
  <c r="U56" i="15" l="1"/>
  <c r="K55" i="14"/>
  <c r="O55" i="14" s="1"/>
  <c r="K43" i="14"/>
  <c r="O43" i="14" s="1"/>
  <c r="U43" i="14" s="1"/>
  <c r="K33" i="14"/>
  <c r="O33" i="14" s="1"/>
  <c r="K31" i="14"/>
  <c r="O31" i="14" s="1"/>
  <c r="K29" i="14"/>
  <c r="O29" i="14" s="1"/>
  <c r="K22" i="14"/>
  <c r="O22" i="14" s="1"/>
  <c r="K20" i="14"/>
  <c r="O20" i="14" s="1"/>
  <c r="J58" i="14" l="1"/>
  <c r="I58" i="14"/>
  <c r="H58" i="14"/>
  <c r="T57" i="14"/>
  <c r="K57" i="14"/>
  <c r="O57" i="14" s="1"/>
  <c r="T56" i="14"/>
  <c r="K56" i="14"/>
  <c r="O56" i="14" s="1"/>
  <c r="T55" i="14"/>
  <c r="U55" i="14" s="1"/>
  <c r="T54" i="14"/>
  <c r="K54" i="14"/>
  <c r="O54" i="14" s="1"/>
  <c r="T53" i="14"/>
  <c r="K53" i="14"/>
  <c r="O53" i="14" s="1"/>
  <c r="T52" i="14"/>
  <c r="K52" i="14"/>
  <c r="O52" i="14" s="1"/>
  <c r="T51" i="14"/>
  <c r="K51" i="14"/>
  <c r="O51" i="14" s="1"/>
  <c r="T50" i="14"/>
  <c r="K50" i="14"/>
  <c r="O50" i="14" s="1"/>
  <c r="T49" i="14"/>
  <c r="K49" i="14"/>
  <c r="O49" i="14" s="1"/>
  <c r="T48" i="14"/>
  <c r="K48" i="14"/>
  <c r="O48" i="14" s="1"/>
  <c r="T47" i="14"/>
  <c r="K47" i="14"/>
  <c r="O47" i="14" s="1"/>
  <c r="T46" i="14"/>
  <c r="K46" i="14"/>
  <c r="O46" i="14" s="1"/>
  <c r="T45" i="14"/>
  <c r="K45" i="14"/>
  <c r="O45" i="14" s="1"/>
  <c r="T44" i="14"/>
  <c r="K44" i="14"/>
  <c r="O44" i="14" s="1"/>
  <c r="T42" i="14"/>
  <c r="K42" i="14"/>
  <c r="O42" i="14" s="1"/>
  <c r="T41" i="14"/>
  <c r="K41" i="14"/>
  <c r="O41" i="14" s="1"/>
  <c r="T40" i="14"/>
  <c r="K40" i="14"/>
  <c r="O40" i="14" s="1"/>
  <c r="T39" i="14"/>
  <c r="K39" i="14"/>
  <c r="O39" i="14" s="1"/>
  <c r="T38" i="14"/>
  <c r="K38" i="14"/>
  <c r="O38" i="14" s="1"/>
  <c r="T37" i="14"/>
  <c r="K37" i="14"/>
  <c r="O37" i="14" s="1"/>
  <c r="T36" i="14"/>
  <c r="K36" i="14"/>
  <c r="O36" i="14" s="1"/>
  <c r="T35" i="14"/>
  <c r="K35" i="14"/>
  <c r="O35" i="14" s="1"/>
  <c r="T34" i="14"/>
  <c r="K34" i="14"/>
  <c r="O34" i="14" s="1"/>
  <c r="T33" i="14"/>
  <c r="U33" i="14" s="1"/>
  <c r="T32" i="14"/>
  <c r="K32" i="14"/>
  <c r="O32" i="14" s="1"/>
  <c r="T31" i="14"/>
  <c r="U31" i="14" s="1"/>
  <c r="T30" i="14"/>
  <c r="K30" i="14"/>
  <c r="O30" i="14" s="1"/>
  <c r="T29" i="14"/>
  <c r="U29" i="14" s="1"/>
  <c r="T28" i="14"/>
  <c r="K28" i="14"/>
  <c r="O28" i="14" s="1"/>
  <c r="T27" i="14"/>
  <c r="K27" i="14"/>
  <c r="O27" i="14" s="1"/>
  <c r="T26" i="14"/>
  <c r="K26" i="14"/>
  <c r="O26" i="14" s="1"/>
  <c r="T25" i="14"/>
  <c r="K25" i="14"/>
  <c r="O25" i="14" s="1"/>
  <c r="T24" i="14"/>
  <c r="K24" i="14"/>
  <c r="O24" i="14" s="1"/>
  <c r="T23" i="14"/>
  <c r="K23" i="14"/>
  <c r="O23" i="14" s="1"/>
  <c r="T22" i="14"/>
  <c r="U22" i="14" s="1"/>
  <c r="T21" i="14"/>
  <c r="K21" i="14"/>
  <c r="O21" i="14" s="1"/>
  <c r="T20" i="14"/>
  <c r="U20" i="14" s="1"/>
  <c r="T19" i="14"/>
  <c r="K19" i="14"/>
  <c r="O19" i="14" s="1"/>
  <c r="T18" i="14"/>
  <c r="K18" i="14"/>
  <c r="O18" i="14" s="1"/>
  <c r="T17" i="14"/>
  <c r="K17" i="14"/>
  <c r="O17" i="14" s="1"/>
  <c r="T16" i="14"/>
  <c r="K16" i="14"/>
  <c r="O16" i="14" s="1"/>
  <c r="T15" i="14"/>
  <c r="K15" i="14"/>
  <c r="O15" i="14" s="1"/>
  <c r="T14" i="14"/>
  <c r="K14" i="14"/>
  <c r="O14" i="14" s="1"/>
  <c r="T13" i="14"/>
  <c r="K13" i="14"/>
  <c r="O13" i="14" s="1"/>
  <c r="T12" i="14"/>
  <c r="K12" i="14"/>
  <c r="O12" i="14" s="1"/>
  <c r="T11" i="14"/>
  <c r="K11" i="14"/>
  <c r="O11" i="14" s="1"/>
  <c r="T10" i="14"/>
  <c r="K10" i="14"/>
  <c r="O10" i="14" s="1"/>
  <c r="T9" i="14"/>
  <c r="K9" i="14"/>
  <c r="O9" i="14" s="1"/>
  <c r="T8" i="14"/>
  <c r="K8" i="14"/>
  <c r="O8" i="14" s="1"/>
  <c r="T7" i="14"/>
  <c r="K7" i="14"/>
  <c r="O7" i="14" s="1"/>
  <c r="T6" i="14"/>
  <c r="K6" i="14"/>
  <c r="O6" i="14" s="1"/>
  <c r="T5" i="14"/>
  <c r="K5" i="14"/>
  <c r="O5" i="14" s="1"/>
  <c r="U6" i="14" l="1"/>
  <c r="U8" i="14"/>
  <c r="U10" i="14"/>
  <c r="U14" i="14"/>
  <c r="U16" i="14"/>
  <c r="U18" i="14"/>
  <c r="U24" i="14"/>
  <c r="U30" i="14"/>
  <c r="U32" i="14"/>
  <c r="U34" i="14"/>
  <c r="U36" i="14"/>
  <c r="U38" i="14"/>
  <c r="U40" i="14"/>
  <c r="U42" i="14"/>
  <c r="U45" i="14"/>
  <c r="U47" i="14"/>
  <c r="U49" i="14"/>
  <c r="U51" i="14"/>
  <c r="U53" i="14"/>
  <c r="U57" i="14"/>
  <c r="U12" i="14"/>
  <c r="U26" i="14"/>
  <c r="U28" i="14"/>
  <c r="U5" i="14"/>
  <c r="U7" i="14"/>
  <c r="U9" i="14"/>
  <c r="U11" i="14"/>
  <c r="U13" i="14"/>
  <c r="U15" i="14"/>
  <c r="U17" i="14"/>
  <c r="U19" i="14"/>
  <c r="U21" i="14"/>
  <c r="U23" i="14"/>
  <c r="U25" i="14"/>
  <c r="U27" i="14"/>
  <c r="U35" i="14"/>
  <c r="U37" i="14"/>
  <c r="U39" i="14"/>
  <c r="U41" i="14"/>
  <c r="U44" i="14"/>
  <c r="U46" i="14"/>
  <c r="U48" i="14"/>
  <c r="U50" i="14"/>
  <c r="U52" i="14"/>
  <c r="U54" i="14"/>
  <c r="U56" i="14"/>
  <c r="J58" i="13"/>
  <c r="U58" i="14" l="1"/>
  <c r="K46" i="13"/>
  <c r="O46" i="13" s="1"/>
  <c r="U46" i="13" s="1"/>
  <c r="T46" i="13"/>
  <c r="I58" i="13" l="1"/>
  <c r="H58" i="13"/>
  <c r="T57" i="13"/>
  <c r="K57" i="13"/>
  <c r="O57" i="13" s="1"/>
  <c r="T56" i="13"/>
  <c r="K56" i="13"/>
  <c r="O56" i="13" s="1"/>
  <c r="T55" i="13"/>
  <c r="K55" i="13"/>
  <c r="O55" i="13" s="1"/>
  <c r="T54" i="13"/>
  <c r="K54" i="13"/>
  <c r="O54" i="13" s="1"/>
  <c r="T53" i="13"/>
  <c r="K53" i="13"/>
  <c r="O53" i="13" s="1"/>
  <c r="T52" i="13"/>
  <c r="K52" i="13"/>
  <c r="O52" i="13" s="1"/>
  <c r="T51" i="13"/>
  <c r="K51" i="13"/>
  <c r="O51" i="13" s="1"/>
  <c r="T50" i="13"/>
  <c r="K50" i="13"/>
  <c r="O50" i="13" s="1"/>
  <c r="T49" i="13"/>
  <c r="K49" i="13"/>
  <c r="O49" i="13" s="1"/>
  <c r="T48" i="13"/>
  <c r="K48" i="13"/>
  <c r="O48" i="13" s="1"/>
  <c r="T47" i="13"/>
  <c r="K47" i="13"/>
  <c r="O47" i="13" s="1"/>
  <c r="T44" i="13"/>
  <c r="K44" i="13"/>
  <c r="O44" i="13" s="1"/>
  <c r="T43" i="13"/>
  <c r="K43" i="13"/>
  <c r="O43" i="13" s="1"/>
  <c r="T42" i="13"/>
  <c r="K42" i="13"/>
  <c r="O42" i="13" s="1"/>
  <c r="T41" i="13"/>
  <c r="K41" i="13"/>
  <c r="O41" i="13" s="1"/>
  <c r="T40" i="13"/>
  <c r="K40" i="13"/>
  <c r="O40" i="13" s="1"/>
  <c r="T39" i="13"/>
  <c r="K39" i="13"/>
  <c r="O39" i="13" s="1"/>
  <c r="T38" i="13"/>
  <c r="K38" i="13"/>
  <c r="O38" i="13" s="1"/>
  <c r="T37" i="13"/>
  <c r="K37" i="13"/>
  <c r="O37" i="13" s="1"/>
  <c r="T36" i="13"/>
  <c r="K36" i="13"/>
  <c r="O36" i="13" s="1"/>
  <c r="T35" i="13"/>
  <c r="K35" i="13"/>
  <c r="O35" i="13" s="1"/>
  <c r="T34" i="13"/>
  <c r="K34" i="13"/>
  <c r="O34" i="13" s="1"/>
  <c r="T33" i="13"/>
  <c r="K33" i="13"/>
  <c r="O33" i="13" s="1"/>
  <c r="T32" i="13"/>
  <c r="K32" i="13"/>
  <c r="O32" i="13" s="1"/>
  <c r="T31" i="13"/>
  <c r="K31" i="13"/>
  <c r="O31" i="13" s="1"/>
  <c r="T30" i="13"/>
  <c r="K30" i="13"/>
  <c r="O30" i="13" s="1"/>
  <c r="T29" i="13"/>
  <c r="K29" i="13"/>
  <c r="O29" i="13" s="1"/>
  <c r="T28" i="13"/>
  <c r="K28" i="13"/>
  <c r="O28" i="13" s="1"/>
  <c r="T27" i="13"/>
  <c r="K27" i="13"/>
  <c r="O27" i="13" s="1"/>
  <c r="T26" i="13"/>
  <c r="K26" i="13"/>
  <c r="O26" i="13" s="1"/>
  <c r="T25" i="13"/>
  <c r="K25" i="13"/>
  <c r="O25" i="13" s="1"/>
  <c r="T24" i="13"/>
  <c r="K24" i="13"/>
  <c r="O24" i="13" s="1"/>
  <c r="T23" i="13"/>
  <c r="K23" i="13"/>
  <c r="O23" i="13" s="1"/>
  <c r="T22" i="13"/>
  <c r="K22" i="13"/>
  <c r="O22" i="13" s="1"/>
  <c r="T21" i="13"/>
  <c r="K21" i="13"/>
  <c r="O21" i="13" s="1"/>
  <c r="T20" i="13"/>
  <c r="K20" i="13"/>
  <c r="O20" i="13" s="1"/>
  <c r="T19" i="13"/>
  <c r="K19" i="13"/>
  <c r="O19" i="13" s="1"/>
  <c r="T18" i="13"/>
  <c r="K18" i="13"/>
  <c r="O18" i="13" s="1"/>
  <c r="T17" i="13"/>
  <c r="K17" i="13"/>
  <c r="O17" i="13" s="1"/>
  <c r="T16" i="13"/>
  <c r="K16" i="13"/>
  <c r="O16" i="13" s="1"/>
  <c r="T15" i="13"/>
  <c r="K15" i="13"/>
  <c r="O15" i="13" s="1"/>
  <c r="T14" i="13"/>
  <c r="K14" i="13"/>
  <c r="O14" i="13" s="1"/>
  <c r="T13" i="13"/>
  <c r="K13" i="13"/>
  <c r="O13" i="13" s="1"/>
  <c r="T12" i="13"/>
  <c r="K12" i="13"/>
  <c r="O12" i="13" s="1"/>
  <c r="T11" i="13"/>
  <c r="K11" i="13"/>
  <c r="O11" i="13" s="1"/>
  <c r="T10" i="13"/>
  <c r="K10" i="13"/>
  <c r="O10" i="13" s="1"/>
  <c r="T9" i="13"/>
  <c r="K9" i="13"/>
  <c r="O9" i="13" s="1"/>
  <c r="T8" i="13"/>
  <c r="K8" i="13"/>
  <c r="O8" i="13" s="1"/>
  <c r="T7" i="13"/>
  <c r="K7" i="13"/>
  <c r="O7" i="13" s="1"/>
  <c r="T6" i="13"/>
  <c r="K6" i="13"/>
  <c r="O6" i="13" s="1"/>
  <c r="T5" i="13"/>
  <c r="K5" i="13"/>
  <c r="O5" i="13" s="1"/>
  <c r="U48" i="13" l="1"/>
  <c r="U50" i="13"/>
  <c r="U52" i="13"/>
  <c r="U54" i="13"/>
  <c r="U56" i="13"/>
  <c r="U6" i="13"/>
  <c r="U10" i="13"/>
  <c r="U12" i="13"/>
  <c r="U14" i="13"/>
  <c r="U18" i="13"/>
  <c r="U20" i="13"/>
  <c r="U22" i="13"/>
  <c r="U24" i="13"/>
  <c r="U26" i="13"/>
  <c r="U28" i="13"/>
  <c r="U30" i="13"/>
  <c r="U32" i="13"/>
  <c r="U34" i="13"/>
  <c r="U38" i="13"/>
  <c r="U40" i="13"/>
  <c r="U42" i="13"/>
  <c r="U44" i="13"/>
  <c r="U36" i="13"/>
  <c r="U16" i="13"/>
  <c r="U8" i="13"/>
  <c r="U5" i="13"/>
  <c r="U7" i="13"/>
  <c r="U9" i="13"/>
  <c r="U11" i="13"/>
  <c r="U13" i="13"/>
  <c r="U15" i="13"/>
  <c r="U17" i="13"/>
  <c r="U19" i="13"/>
  <c r="U21" i="13"/>
  <c r="U23" i="13"/>
  <c r="U25" i="13"/>
  <c r="U27" i="13"/>
  <c r="U29" i="13"/>
  <c r="U31" i="13"/>
  <c r="U33" i="13"/>
  <c r="U35" i="13"/>
  <c r="U37" i="13"/>
  <c r="U39" i="13"/>
  <c r="U41" i="13"/>
  <c r="U43" i="13"/>
  <c r="U47" i="13"/>
  <c r="U49" i="13"/>
  <c r="U51" i="13"/>
  <c r="U53" i="13"/>
  <c r="U55" i="13"/>
  <c r="U57" i="13"/>
  <c r="K54" i="12"/>
  <c r="O54" i="12" s="1"/>
  <c r="K53" i="12"/>
  <c r="K48" i="12"/>
  <c r="O48" i="12" s="1"/>
  <c r="K46" i="12"/>
  <c r="O46" i="12" s="1"/>
  <c r="K30" i="12"/>
  <c r="O30" i="12" s="1"/>
  <c r="K27" i="12"/>
  <c r="O27" i="12" s="1"/>
  <c r="K26" i="12"/>
  <c r="O26" i="12" s="1"/>
  <c r="K23" i="12"/>
  <c r="O23" i="12" s="1"/>
  <c r="K19" i="12"/>
  <c r="O19" i="12" s="1"/>
  <c r="K13" i="12"/>
  <c r="O13" i="12" s="1"/>
  <c r="T54" i="12"/>
  <c r="T53" i="12"/>
  <c r="T48" i="12"/>
  <c r="T46" i="12"/>
  <c r="T30" i="12"/>
  <c r="T27" i="12"/>
  <c r="T26" i="12"/>
  <c r="T23" i="12"/>
  <c r="T19" i="12"/>
  <c r="T13" i="12"/>
  <c r="O53" i="12"/>
  <c r="U58" i="13" l="1"/>
  <c r="U23" i="12"/>
  <c r="U19" i="12"/>
  <c r="U54" i="12"/>
  <c r="U46" i="12"/>
  <c r="U30" i="12"/>
  <c r="U13" i="12"/>
  <c r="U27" i="12"/>
  <c r="U53" i="12"/>
  <c r="U26" i="12"/>
  <c r="U48" i="12"/>
  <c r="T6" i="12"/>
  <c r="T7" i="12"/>
  <c r="T8" i="12"/>
  <c r="T9" i="12"/>
  <c r="T10" i="12"/>
  <c r="T11" i="12"/>
  <c r="T12" i="12"/>
  <c r="T14" i="12"/>
  <c r="T15" i="12"/>
  <c r="T16" i="12"/>
  <c r="T17" i="12"/>
  <c r="T18" i="12"/>
  <c r="T20" i="12"/>
  <c r="T21" i="12"/>
  <c r="T22" i="12"/>
  <c r="T24" i="12"/>
  <c r="T25" i="12"/>
  <c r="T28" i="12"/>
  <c r="T29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7" i="12"/>
  <c r="T49" i="12"/>
  <c r="T50" i="12"/>
  <c r="T51" i="12"/>
  <c r="T52" i="12"/>
  <c r="T55" i="12"/>
  <c r="T56" i="12"/>
  <c r="T57" i="12"/>
  <c r="T5" i="12"/>
  <c r="K6" i="12" l="1"/>
  <c r="O6" i="12" s="1"/>
  <c r="U6" i="12" s="1"/>
  <c r="K7" i="12"/>
  <c r="O7" i="12" s="1"/>
  <c r="U7" i="12" s="1"/>
  <c r="K8" i="12"/>
  <c r="O8" i="12" s="1"/>
  <c r="U8" i="12" s="1"/>
  <c r="K9" i="12"/>
  <c r="O9" i="12" s="1"/>
  <c r="U9" i="12" s="1"/>
  <c r="K10" i="12"/>
  <c r="O10" i="12" s="1"/>
  <c r="U10" i="12" s="1"/>
  <c r="K11" i="12"/>
  <c r="O11" i="12" s="1"/>
  <c r="U11" i="12" s="1"/>
  <c r="K12" i="12"/>
  <c r="O12" i="12" s="1"/>
  <c r="U12" i="12" s="1"/>
  <c r="K14" i="12"/>
  <c r="O14" i="12" s="1"/>
  <c r="U14" i="12" s="1"/>
  <c r="K15" i="12"/>
  <c r="O15" i="12" s="1"/>
  <c r="U15" i="12" s="1"/>
  <c r="K16" i="12"/>
  <c r="O16" i="12" s="1"/>
  <c r="U16" i="12" s="1"/>
  <c r="K17" i="12"/>
  <c r="O17" i="12" s="1"/>
  <c r="U17" i="12" s="1"/>
  <c r="K18" i="12"/>
  <c r="O18" i="12" s="1"/>
  <c r="U18" i="12" s="1"/>
  <c r="K20" i="12"/>
  <c r="O20" i="12" s="1"/>
  <c r="U20" i="12" s="1"/>
  <c r="K21" i="12"/>
  <c r="O21" i="12" s="1"/>
  <c r="U21" i="12" s="1"/>
  <c r="K22" i="12"/>
  <c r="O22" i="12" s="1"/>
  <c r="U22" i="12" s="1"/>
  <c r="K24" i="12"/>
  <c r="O24" i="12" s="1"/>
  <c r="U24" i="12" s="1"/>
  <c r="K25" i="12"/>
  <c r="O25" i="12" s="1"/>
  <c r="U25" i="12" s="1"/>
  <c r="K28" i="12"/>
  <c r="O28" i="12" s="1"/>
  <c r="U28" i="12" s="1"/>
  <c r="K29" i="12"/>
  <c r="O29" i="12" s="1"/>
  <c r="U29" i="12" s="1"/>
  <c r="K31" i="12"/>
  <c r="O31" i="12" s="1"/>
  <c r="U31" i="12" s="1"/>
  <c r="K32" i="12"/>
  <c r="O32" i="12" s="1"/>
  <c r="U32" i="12" s="1"/>
  <c r="K33" i="12"/>
  <c r="O33" i="12" s="1"/>
  <c r="U33" i="12" s="1"/>
  <c r="K34" i="12"/>
  <c r="O34" i="12" s="1"/>
  <c r="U34" i="12" s="1"/>
  <c r="K35" i="12"/>
  <c r="O35" i="12" s="1"/>
  <c r="U35" i="12" s="1"/>
  <c r="K36" i="12"/>
  <c r="O36" i="12" s="1"/>
  <c r="U36" i="12" s="1"/>
  <c r="K37" i="12"/>
  <c r="O37" i="12" s="1"/>
  <c r="U37" i="12" s="1"/>
  <c r="K38" i="12"/>
  <c r="O38" i="12" s="1"/>
  <c r="U38" i="12" s="1"/>
  <c r="K39" i="12"/>
  <c r="O39" i="12" s="1"/>
  <c r="U39" i="12" s="1"/>
  <c r="K40" i="12"/>
  <c r="O40" i="12" s="1"/>
  <c r="U40" i="12" s="1"/>
  <c r="K41" i="12"/>
  <c r="O41" i="12" s="1"/>
  <c r="U41" i="12" s="1"/>
  <c r="K42" i="12"/>
  <c r="O42" i="12" s="1"/>
  <c r="U42" i="12" s="1"/>
  <c r="K43" i="12"/>
  <c r="O43" i="12" s="1"/>
  <c r="U43" i="12" s="1"/>
  <c r="K44" i="12"/>
  <c r="O44" i="12" s="1"/>
  <c r="U44" i="12" s="1"/>
  <c r="K45" i="12"/>
  <c r="O45" i="12" s="1"/>
  <c r="U45" i="12" s="1"/>
  <c r="K47" i="12"/>
  <c r="O47" i="12" s="1"/>
  <c r="U47" i="12" s="1"/>
  <c r="K49" i="12"/>
  <c r="O49" i="12" s="1"/>
  <c r="U49" i="12" s="1"/>
  <c r="K50" i="12"/>
  <c r="O50" i="12" s="1"/>
  <c r="U50" i="12" s="1"/>
  <c r="K51" i="12"/>
  <c r="O51" i="12" s="1"/>
  <c r="U51" i="12" s="1"/>
  <c r="K52" i="12"/>
  <c r="O52" i="12" s="1"/>
  <c r="U52" i="12" s="1"/>
  <c r="K55" i="12"/>
  <c r="O55" i="12" s="1"/>
  <c r="U55" i="12" s="1"/>
  <c r="K56" i="12"/>
  <c r="O56" i="12" s="1"/>
  <c r="U56" i="12" s="1"/>
  <c r="K57" i="12"/>
  <c r="O57" i="12" s="1"/>
  <c r="K5" i="11"/>
  <c r="K5" i="12"/>
  <c r="O5" i="12" s="1"/>
  <c r="J58" i="12" l="1"/>
  <c r="I58" i="12"/>
  <c r="H58" i="12"/>
  <c r="U57" i="12"/>
  <c r="U5" i="12"/>
  <c r="U58" i="12" l="1"/>
  <c r="H57" i="11"/>
  <c r="K21" i="11" l="1"/>
  <c r="J57" i="11"/>
  <c r="K39" i="11" l="1"/>
  <c r="O39" i="11" s="1"/>
  <c r="T6" i="11" l="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" i="11"/>
  <c r="K48" i="11" l="1"/>
  <c r="P26" i="10" l="1"/>
  <c r="Q26" i="10"/>
  <c r="D26" i="10"/>
  <c r="R10" i="10"/>
  <c r="T57" i="10"/>
  <c r="O48" i="11" l="1"/>
  <c r="U48" i="11" s="1"/>
  <c r="O5" i="11"/>
  <c r="U5" i="11" s="1"/>
  <c r="K6" i="11"/>
  <c r="O6" i="11" s="1"/>
  <c r="U6" i="11" s="1"/>
  <c r="K7" i="11"/>
  <c r="O7" i="11" s="1"/>
  <c r="U7" i="11" s="1"/>
  <c r="K8" i="11"/>
  <c r="O8" i="11" s="1"/>
  <c r="U8" i="11" s="1"/>
  <c r="K9" i="11"/>
  <c r="O9" i="11" s="1"/>
  <c r="U9" i="11" s="1"/>
  <c r="K10" i="11"/>
  <c r="O10" i="11" s="1"/>
  <c r="U10" i="11" s="1"/>
  <c r="K11" i="11"/>
  <c r="O11" i="11" s="1"/>
  <c r="U11" i="11" s="1"/>
  <c r="K12" i="11"/>
  <c r="O12" i="11" s="1"/>
  <c r="U12" i="11" s="1"/>
  <c r="K13" i="11"/>
  <c r="O13" i="11" s="1"/>
  <c r="U13" i="11" s="1"/>
  <c r="K14" i="11"/>
  <c r="O14" i="11" s="1"/>
  <c r="U14" i="11" s="1"/>
  <c r="K15" i="11"/>
  <c r="O15" i="11" s="1"/>
  <c r="U15" i="11" s="1"/>
  <c r="K16" i="11"/>
  <c r="O16" i="11" s="1"/>
  <c r="U16" i="11" s="1"/>
  <c r="K17" i="11"/>
  <c r="O17" i="11" s="1"/>
  <c r="U17" i="11" s="1"/>
  <c r="K18" i="11"/>
  <c r="O18" i="11" s="1"/>
  <c r="U18" i="11" s="1"/>
  <c r="K19" i="11"/>
  <c r="O19" i="11" s="1"/>
  <c r="U19" i="11" s="1"/>
  <c r="K20" i="11"/>
  <c r="O20" i="11" s="1"/>
  <c r="U20" i="11" s="1"/>
  <c r="K22" i="11"/>
  <c r="O22" i="11" s="1"/>
  <c r="U22" i="11" s="1"/>
  <c r="K23" i="11"/>
  <c r="O23" i="11" s="1"/>
  <c r="U23" i="11" s="1"/>
  <c r="K24" i="11"/>
  <c r="O24" i="11" s="1"/>
  <c r="U24" i="11" s="1"/>
  <c r="K25" i="11"/>
  <c r="O25" i="11" s="1"/>
  <c r="U25" i="11" s="1"/>
  <c r="K26" i="11"/>
  <c r="O26" i="11" s="1"/>
  <c r="U26" i="11" s="1"/>
  <c r="K27" i="11"/>
  <c r="O27" i="11" s="1"/>
  <c r="U27" i="11" s="1"/>
  <c r="K28" i="11"/>
  <c r="O28" i="11" s="1"/>
  <c r="U28" i="11" s="1"/>
  <c r="K29" i="11"/>
  <c r="O29" i="11" s="1"/>
  <c r="U29" i="11" s="1"/>
  <c r="K30" i="11"/>
  <c r="O30" i="11" s="1"/>
  <c r="U30" i="11" s="1"/>
  <c r="K31" i="11"/>
  <c r="O31" i="11" s="1"/>
  <c r="U31" i="11" s="1"/>
  <c r="K32" i="11"/>
  <c r="O32" i="11" s="1"/>
  <c r="U32" i="11" s="1"/>
  <c r="K33" i="11"/>
  <c r="O33" i="11" s="1"/>
  <c r="U33" i="11" s="1"/>
  <c r="K34" i="11"/>
  <c r="O34" i="11" s="1"/>
  <c r="U34" i="11" s="1"/>
  <c r="K35" i="11"/>
  <c r="O35" i="11" s="1"/>
  <c r="U35" i="11" s="1"/>
  <c r="K36" i="11"/>
  <c r="O36" i="11" s="1"/>
  <c r="U36" i="11" s="1"/>
  <c r="K37" i="11"/>
  <c r="O37" i="11" s="1"/>
  <c r="U37" i="11" s="1"/>
  <c r="K38" i="11"/>
  <c r="O38" i="11" s="1"/>
  <c r="U38" i="11" s="1"/>
  <c r="U39" i="11"/>
  <c r="K40" i="11"/>
  <c r="O40" i="11" s="1"/>
  <c r="U40" i="11" s="1"/>
  <c r="K41" i="11"/>
  <c r="O41" i="11" s="1"/>
  <c r="U41" i="11" s="1"/>
  <c r="K42" i="11"/>
  <c r="O42" i="11" s="1"/>
  <c r="U42" i="11" s="1"/>
  <c r="K43" i="11"/>
  <c r="O43" i="11" s="1"/>
  <c r="U43" i="11" s="1"/>
  <c r="K44" i="11"/>
  <c r="O44" i="11" s="1"/>
  <c r="U44" i="11" s="1"/>
  <c r="K45" i="11"/>
  <c r="O45" i="11" s="1"/>
  <c r="U45" i="11" s="1"/>
  <c r="K46" i="11"/>
  <c r="O46" i="11" s="1"/>
  <c r="U46" i="11" s="1"/>
  <c r="K47" i="11"/>
  <c r="O47" i="11" s="1"/>
  <c r="U47" i="11" s="1"/>
  <c r="K49" i="11"/>
  <c r="O49" i="11" s="1"/>
  <c r="U49" i="11" s="1"/>
  <c r="K50" i="11"/>
  <c r="O50" i="11" s="1"/>
  <c r="U50" i="11" s="1"/>
  <c r="K51" i="11"/>
  <c r="O51" i="11" s="1"/>
  <c r="U51" i="11" s="1"/>
  <c r="K52" i="11"/>
  <c r="O52" i="11" s="1"/>
  <c r="U52" i="11" s="1"/>
  <c r="K53" i="11"/>
  <c r="O53" i="11" s="1"/>
  <c r="U53" i="11" s="1"/>
  <c r="K54" i="11"/>
  <c r="O54" i="11" s="1"/>
  <c r="U54" i="11" s="1"/>
  <c r="K55" i="11"/>
  <c r="O55" i="11" s="1"/>
  <c r="U55" i="11" s="1"/>
  <c r="K57" i="10"/>
  <c r="K56" i="11"/>
  <c r="O56" i="11" s="1"/>
  <c r="U56" i="11" s="1"/>
  <c r="I57" i="11"/>
  <c r="I58" i="10" l="1"/>
  <c r="J58" i="10"/>
  <c r="H58" i="10" l="1"/>
  <c r="K6" i="10" l="1"/>
  <c r="O6" i="10" s="1"/>
  <c r="K7" i="10"/>
  <c r="O7" i="10" s="1"/>
  <c r="K8" i="10"/>
  <c r="O8" i="10" s="1"/>
  <c r="K9" i="10"/>
  <c r="O9" i="10" s="1"/>
  <c r="K10" i="10"/>
  <c r="O10" i="10" s="1"/>
  <c r="K11" i="10"/>
  <c r="O11" i="10" s="1"/>
  <c r="K12" i="10"/>
  <c r="O12" i="10" s="1"/>
  <c r="K13" i="10"/>
  <c r="O13" i="10" s="1"/>
  <c r="K14" i="10"/>
  <c r="O14" i="10" s="1"/>
  <c r="K15" i="10"/>
  <c r="O15" i="10" s="1"/>
  <c r="K16" i="10"/>
  <c r="O16" i="10" s="1"/>
  <c r="K17" i="10"/>
  <c r="O17" i="10" s="1"/>
  <c r="K18" i="10"/>
  <c r="O18" i="10" s="1"/>
  <c r="K19" i="10"/>
  <c r="O19" i="10" s="1"/>
  <c r="K20" i="10"/>
  <c r="O20" i="10" s="1"/>
  <c r="K21" i="10"/>
  <c r="O21" i="10" s="1"/>
  <c r="K22" i="10"/>
  <c r="O22" i="10" s="1"/>
  <c r="K23" i="10"/>
  <c r="O23" i="10" s="1"/>
  <c r="K24" i="10"/>
  <c r="O24" i="10" s="1"/>
  <c r="K25" i="10"/>
  <c r="O25" i="10" s="1"/>
  <c r="K26" i="10"/>
  <c r="O26" i="10" s="1"/>
  <c r="K27" i="10"/>
  <c r="O27" i="10" s="1"/>
  <c r="K28" i="10"/>
  <c r="O28" i="10" s="1"/>
  <c r="K29" i="10"/>
  <c r="O29" i="10" s="1"/>
  <c r="K30" i="10"/>
  <c r="O30" i="10" s="1"/>
  <c r="K31" i="10"/>
  <c r="O31" i="10" s="1"/>
  <c r="K32" i="10"/>
  <c r="O32" i="10" s="1"/>
  <c r="K33" i="10"/>
  <c r="O33" i="10" s="1"/>
  <c r="K34" i="10"/>
  <c r="O34" i="10" s="1"/>
  <c r="K35" i="10"/>
  <c r="O35" i="10" s="1"/>
  <c r="K36" i="10"/>
  <c r="O36" i="10" s="1"/>
  <c r="K37" i="10"/>
  <c r="O37" i="10" s="1"/>
  <c r="K38" i="10"/>
  <c r="O38" i="10" s="1"/>
  <c r="K39" i="10"/>
  <c r="O39" i="10" s="1"/>
  <c r="K40" i="10"/>
  <c r="O40" i="10" s="1"/>
  <c r="K41" i="10"/>
  <c r="O41" i="10" s="1"/>
  <c r="K42" i="10"/>
  <c r="O42" i="10" s="1"/>
  <c r="K43" i="10"/>
  <c r="O43" i="10" s="1"/>
  <c r="K44" i="10"/>
  <c r="O44" i="10" s="1"/>
  <c r="K45" i="10"/>
  <c r="O45" i="10" s="1"/>
  <c r="K46" i="10"/>
  <c r="O46" i="10" s="1"/>
  <c r="K47" i="10"/>
  <c r="O47" i="10" s="1"/>
  <c r="K48" i="10"/>
  <c r="O48" i="10" s="1"/>
  <c r="K49" i="10"/>
  <c r="O49" i="10" s="1"/>
  <c r="K50" i="10"/>
  <c r="O50" i="10" s="1"/>
  <c r="K51" i="10"/>
  <c r="O51" i="10" s="1"/>
  <c r="K52" i="10"/>
  <c r="O52" i="10" s="1"/>
  <c r="K53" i="10"/>
  <c r="O53" i="10" s="1"/>
  <c r="K54" i="10"/>
  <c r="O54" i="10" s="1"/>
  <c r="K55" i="10"/>
  <c r="O55" i="10" s="1"/>
  <c r="K56" i="10"/>
  <c r="O56" i="10" s="1"/>
  <c r="O57" i="10"/>
  <c r="K5" i="10"/>
  <c r="O5" i="10" s="1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" i="10"/>
  <c r="U40" i="10" l="1"/>
  <c r="U24" i="10"/>
  <c r="U17" i="10"/>
  <c r="U9" i="10"/>
  <c r="U47" i="10"/>
  <c r="U54" i="10"/>
  <c r="U50" i="10"/>
  <c r="U46" i="10"/>
  <c r="U42" i="10"/>
  <c r="U26" i="10"/>
  <c r="U22" i="10"/>
  <c r="U18" i="10"/>
  <c r="U33" i="10"/>
  <c r="U44" i="10"/>
  <c r="U43" i="10"/>
  <c r="U31" i="10"/>
  <c r="U25" i="10"/>
  <c r="U48" i="10"/>
  <c r="U53" i="10"/>
  <c r="U29" i="10"/>
  <c r="U13" i="10"/>
  <c r="U27" i="10"/>
  <c r="U19" i="10"/>
  <c r="U39" i="10"/>
  <c r="U41" i="10"/>
  <c r="U56" i="10"/>
  <c r="U52" i="10"/>
  <c r="U37" i="10"/>
  <c r="U38" i="10"/>
  <c r="U51" i="10"/>
  <c r="U49" i="10"/>
  <c r="U45" i="10"/>
  <c r="U34" i="10"/>
  <c r="U30" i="10"/>
  <c r="U32" i="10"/>
  <c r="U28" i="10"/>
  <c r="U20" i="10"/>
  <c r="U21" i="10"/>
  <c r="U55" i="10"/>
  <c r="U35" i="10"/>
  <c r="U57" i="10"/>
  <c r="U16" i="10"/>
  <c r="U5" i="10"/>
  <c r="U11" i="7"/>
  <c r="L16" i="7"/>
  <c r="J17" i="1"/>
  <c r="J27" i="1"/>
  <c r="J58" i="1"/>
  <c r="U6" i="10"/>
  <c r="U7" i="10"/>
  <c r="U8" i="10"/>
  <c r="U10" i="10"/>
  <c r="U11" i="10"/>
  <c r="U14" i="10"/>
  <c r="U15" i="10"/>
  <c r="U23" i="10"/>
  <c r="U36" i="10"/>
  <c r="U12" i="10" l="1"/>
  <c r="U58" i="10" s="1"/>
  <c r="H56" i="9"/>
  <c r="S55" i="9"/>
  <c r="J55" i="9"/>
  <c r="N55" i="9" s="1"/>
  <c r="S54" i="9"/>
  <c r="J54" i="9"/>
  <c r="N54" i="9" s="1"/>
  <c r="S53" i="9"/>
  <c r="J53" i="9"/>
  <c r="N53" i="9" s="1"/>
  <c r="S52" i="9"/>
  <c r="J52" i="9"/>
  <c r="N52" i="9" s="1"/>
  <c r="P51" i="9"/>
  <c r="S51" i="9" s="1"/>
  <c r="I51" i="9"/>
  <c r="J51" i="9" s="1"/>
  <c r="N51" i="9" s="1"/>
  <c r="P50" i="9"/>
  <c r="O50" i="9"/>
  <c r="K50" i="9"/>
  <c r="J50" i="9"/>
  <c r="S49" i="9"/>
  <c r="J49" i="9"/>
  <c r="N49" i="9" s="1"/>
  <c r="S48" i="9"/>
  <c r="J48" i="9"/>
  <c r="D48" i="9"/>
  <c r="S47" i="9"/>
  <c r="J47" i="9"/>
  <c r="N47" i="9" s="1"/>
  <c r="S46" i="9"/>
  <c r="J46" i="9"/>
  <c r="D46" i="9"/>
  <c r="N46" i="9" s="1"/>
  <c r="S45" i="9"/>
  <c r="J45" i="9"/>
  <c r="N45" i="9" s="1"/>
  <c r="P44" i="9"/>
  <c r="O44" i="9"/>
  <c r="S44" i="9" s="1"/>
  <c r="J44" i="9"/>
  <c r="D44" i="9"/>
  <c r="S43" i="9"/>
  <c r="J43" i="9"/>
  <c r="N43" i="9" s="1"/>
  <c r="T43" i="9" s="1"/>
  <c r="S42" i="9"/>
  <c r="J42" i="9"/>
  <c r="N42" i="9" s="1"/>
  <c r="S41" i="9"/>
  <c r="J41" i="9"/>
  <c r="N41" i="9" s="1"/>
  <c r="T41" i="9" s="1"/>
  <c r="S40" i="9"/>
  <c r="J40" i="9"/>
  <c r="N40" i="9" s="1"/>
  <c r="S39" i="9"/>
  <c r="J39" i="9"/>
  <c r="N39" i="9" s="1"/>
  <c r="T39" i="9" s="1"/>
  <c r="S38" i="9"/>
  <c r="J38" i="9"/>
  <c r="N38" i="9" s="1"/>
  <c r="S37" i="9"/>
  <c r="J37" i="9"/>
  <c r="N37" i="9" s="1"/>
  <c r="T37" i="9" s="1"/>
  <c r="S36" i="9"/>
  <c r="J36" i="9"/>
  <c r="N36" i="9" s="1"/>
  <c r="P35" i="9"/>
  <c r="O35" i="9"/>
  <c r="S35" i="9" s="1"/>
  <c r="J35" i="9"/>
  <c r="D35" i="9"/>
  <c r="S34" i="9"/>
  <c r="J34" i="9"/>
  <c r="N34" i="9" s="1"/>
  <c r="S33" i="9"/>
  <c r="J33" i="9"/>
  <c r="N33" i="9" s="1"/>
  <c r="S32" i="9"/>
  <c r="J32" i="9"/>
  <c r="N32" i="9" s="1"/>
  <c r="S31" i="9"/>
  <c r="J31" i="9"/>
  <c r="D31" i="9"/>
  <c r="S30" i="9"/>
  <c r="J30" i="9"/>
  <c r="N30" i="9" s="1"/>
  <c r="S29" i="9"/>
  <c r="J29" i="9"/>
  <c r="N29" i="9" s="1"/>
  <c r="S28" i="9"/>
  <c r="J28" i="9"/>
  <c r="N28" i="9" s="1"/>
  <c r="S27" i="9"/>
  <c r="J27" i="9"/>
  <c r="N27" i="9" s="1"/>
  <c r="S26" i="9"/>
  <c r="J26" i="9"/>
  <c r="D26" i="9"/>
  <c r="S25" i="9"/>
  <c r="J25" i="9"/>
  <c r="N25" i="9" s="1"/>
  <c r="S24" i="9"/>
  <c r="J24" i="9"/>
  <c r="N24" i="9" s="1"/>
  <c r="S23" i="9"/>
  <c r="J23" i="9"/>
  <c r="N23" i="9" s="1"/>
  <c r="S22" i="9"/>
  <c r="J22" i="9"/>
  <c r="N22" i="9" s="1"/>
  <c r="S21" i="9"/>
  <c r="J21" i="9"/>
  <c r="N21" i="9" s="1"/>
  <c r="S20" i="9"/>
  <c r="J20" i="9"/>
  <c r="D20" i="9"/>
  <c r="S19" i="9"/>
  <c r="J19" i="9"/>
  <c r="D19" i="9"/>
  <c r="S18" i="9"/>
  <c r="J18" i="9"/>
  <c r="N18" i="9" s="1"/>
  <c r="S17" i="9"/>
  <c r="J17" i="9"/>
  <c r="N17" i="9" s="1"/>
  <c r="S16" i="9"/>
  <c r="J16" i="9"/>
  <c r="N16" i="9" s="1"/>
  <c r="P15" i="9"/>
  <c r="O15" i="9"/>
  <c r="J15" i="9"/>
  <c r="N15" i="9" s="1"/>
  <c r="S14" i="9"/>
  <c r="J14" i="9"/>
  <c r="N14" i="9" s="1"/>
  <c r="J13" i="9"/>
  <c r="N13" i="9" s="1"/>
  <c r="T13" i="9" s="1"/>
  <c r="S12" i="9"/>
  <c r="J12" i="9"/>
  <c r="N12" i="9" s="1"/>
  <c r="P11" i="9"/>
  <c r="S11" i="9" s="1"/>
  <c r="J11" i="9"/>
  <c r="N11" i="9" s="1"/>
  <c r="S10" i="9"/>
  <c r="J10" i="9"/>
  <c r="N10" i="9" s="1"/>
  <c r="S9" i="9"/>
  <c r="J9" i="9"/>
  <c r="N9" i="9" s="1"/>
  <c r="S8" i="9"/>
  <c r="J8" i="9"/>
  <c r="N8" i="9" s="1"/>
  <c r="S7" i="9"/>
  <c r="J7" i="9"/>
  <c r="N7" i="9" s="1"/>
  <c r="S6" i="9"/>
  <c r="J6" i="9"/>
  <c r="N6" i="9" s="1"/>
  <c r="P5" i="9"/>
  <c r="S5" i="9" s="1"/>
  <c r="J5" i="9"/>
  <c r="N5" i="9" s="1"/>
  <c r="T6" i="9" l="1"/>
  <c r="T8" i="9"/>
  <c r="T10" i="9"/>
  <c r="T14" i="9"/>
  <c r="S15" i="9"/>
  <c r="N50" i="9"/>
  <c r="T46" i="9"/>
  <c r="T5" i="9"/>
  <c r="T7" i="9"/>
  <c r="T9" i="9"/>
  <c r="T27" i="9"/>
  <c r="T29" i="9"/>
  <c r="N48" i="9"/>
  <c r="T48" i="9" s="1"/>
  <c r="T55" i="9"/>
  <c r="S50" i="9"/>
  <c r="T52" i="9"/>
  <c r="T54" i="9"/>
  <c r="N31" i="9"/>
  <c r="T11" i="9"/>
  <c r="T22" i="9"/>
  <c r="T24" i="9"/>
  <c r="N26" i="9"/>
  <c r="T36" i="9"/>
  <c r="T38" i="9"/>
  <c r="T40" i="9"/>
  <c r="T42" i="9"/>
  <c r="N44" i="9"/>
  <c r="T45" i="9"/>
  <c r="T31" i="9"/>
  <c r="N19" i="9"/>
  <c r="T19" i="9" s="1"/>
  <c r="T21" i="9"/>
  <c r="T23" i="9"/>
  <c r="T25" i="9"/>
  <c r="N35" i="9"/>
  <c r="T35" i="9" s="1"/>
  <c r="T51" i="9"/>
  <c r="T53" i="9"/>
  <c r="I56" i="9"/>
  <c r="N20" i="9"/>
  <c r="T20" i="9" s="1"/>
  <c r="T15" i="9"/>
  <c r="T33" i="9"/>
  <c r="T26" i="9"/>
  <c r="T12" i="9"/>
  <c r="T28" i="9"/>
  <c r="T30" i="9"/>
  <c r="T47" i="9"/>
  <c r="T18" i="9"/>
  <c r="T34" i="9"/>
  <c r="T16" i="9"/>
  <c r="T32" i="9"/>
  <c r="T44" i="9"/>
  <c r="T49" i="9"/>
  <c r="T17" i="9"/>
  <c r="T50" i="9"/>
  <c r="P35" i="8"/>
  <c r="T56" i="9" l="1"/>
  <c r="P41" i="1"/>
  <c r="O41" i="5"/>
  <c r="P41" i="5"/>
  <c r="P39" i="5"/>
  <c r="O29" i="5"/>
  <c r="P51" i="8"/>
  <c r="O33" i="8"/>
  <c r="P33" i="8"/>
  <c r="O26" i="8"/>
  <c r="P15" i="8"/>
  <c r="O7" i="8"/>
  <c r="P43" i="8"/>
  <c r="I56" i="8" l="1"/>
  <c r="H56" i="8"/>
  <c r="S55" i="8"/>
  <c r="J55" i="8"/>
  <c r="N55" i="8" s="1"/>
  <c r="S54" i="8"/>
  <c r="J54" i="8"/>
  <c r="N54" i="8" s="1"/>
  <c r="S53" i="8"/>
  <c r="J53" i="8"/>
  <c r="N53" i="8" s="1"/>
  <c r="S52" i="8"/>
  <c r="J52" i="8"/>
  <c r="N52" i="8" s="1"/>
  <c r="Q51" i="8"/>
  <c r="S51" i="8" s="1"/>
  <c r="J51" i="8"/>
  <c r="N51" i="8" s="1"/>
  <c r="S50" i="8"/>
  <c r="J50" i="8"/>
  <c r="N50" i="8" s="1"/>
  <c r="S49" i="8"/>
  <c r="J49" i="8"/>
  <c r="G49" i="8"/>
  <c r="S48" i="8"/>
  <c r="J48" i="8"/>
  <c r="D48" i="8"/>
  <c r="S47" i="8"/>
  <c r="J47" i="8"/>
  <c r="N47" i="8" s="1"/>
  <c r="S46" i="8"/>
  <c r="J46" i="8"/>
  <c r="D46" i="8"/>
  <c r="S45" i="8"/>
  <c r="J45" i="8"/>
  <c r="N45" i="8" s="1"/>
  <c r="S44" i="8"/>
  <c r="J44" i="8"/>
  <c r="D44" i="8"/>
  <c r="S43" i="8"/>
  <c r="J43" i="8"/>
  <c r="N43" i="8" s="1"/>
  <c r="S42" i="8"/>
  <c r="J42" i="8"/>
  <c r="N42" i="8" s="1"/>
  <c r="S41" i="8"/>
  <c r="J41" i="8"/>
  <c r="N41" i="8" s="1"/>
  <c r="S40" i="8"/>
  <c r="J40" i="8"/>
  <c r="G40" i="8"/>
  <c r="S39" i="8"/>
  <c r="J39" i="8"/>
  <c r="G39" i="8"/>
  <c r="S38" i="8"/>
  <c r="J38" i="8"/>
  <c r="N38" i="8" s="1"/>
  <c r="S37" i="8"/>
  <c r="J37" i="8"/>
  <c r="N37" i="8" s="1"/>
  <c r="S36" i="8"/>
  <c r="J36" i="8"/>
  <c r="G36" i="8"/>
  <c r="S35" i="8"/>
  <c r="J35" i="8"/>
  <c r="D35" i="8"/>
  <c r="S34" i="8"/>
  <c r="J34" i="8"/>
  <c r="N34" i="8" s="1"/>
  <c r="S33" i="8"/>
  <c r="J33" i="8"/>
  <c r="D33" i="8"/>
  <c r="S32" i="8"/>
  <c r="J32" i="8"/>
  <c r="N32" i="8" s="1"/>
  <c r="S31" i="8"/>
  <c r="J31" i="8"/>
  <c r="D31" i="8"/>
  <c r="S30" i="8"/>
  <c r="J30" i="8"/>
  <c r="N30" i="8" s="1"/>
  <c r="S29" i="8"/>
  <c r="J29" i="8"/>
  <c r="N29" i="8" s="1"/>
  <c r="S28" i="8"/>
  <c r="J28" i="8"/>
  <c r="N28" i="8" s="1"/>
  <c r="S27" i="8"/>
  <c r="J27" i="8"/>
  <c r="N27" i="8" s="1"/>
  <c r="S26" i="8"/>
  <c r="J26" i="8"/>
  <c r="D26" i="8"/>
  <c r="S25" i="8"/>
  <c r="J25" i="8"/>
  <c r="N25" i="8" s="1"/>
  <c r="S24" i="8"/>
  <c r="J24" i="8"/>
  <c r="N24" i="8" s="1"/>
  <c r="S23" i="8"/>
  <c r="J23" i="8"/>
  <c r="N23" i="8" s="1"/>
  <c r="S22" i="8"/>
  <c r="J22" i="8"/>
  <c r="N22" i="8" s="1"/>
  <c r="S21" i="8"/>
  <c r="J21" i="8"/>
  <c r="N21" i="8" s="1"/>
  <c r="S20" i="8"/>
  <c r="J20" i="8"/>
  <c r="D20" i="8"/>
  <c r="S19" i="8"/>
  <c r="J19" i="8"/>
  <c r="D19" i="8"/>
  <c r="S18" i="8"/>
  <c r="J18" i="8"/>
  <c r="N18" i="8" s="1"/>
  <c r="S17" i="8"/>
  <c r="J17" i="8"/>
  <c r="N17" i="8" s="1"/>
  <c r="S16" i="8"/>
  <c r="J16" i="8"/>
  <c r="N16" i="8" s="1"/>
  <c r="S15" i="8"/>
  <c r="J15" i="8"/>
  <c r="N15" i="8" s="1"/>
  <c r="S14" i="8"/>
  <c r="J14" i="8"/>
  <c r="N14" i="8" s="1"/>
  <c r="S13" i="8"/>
  <c r="J13" i="8"/>
  <c r="N13" i="8" s="1"/>
  <c r="S12" i="8"/>
  <c r="J12" i="8"/>
  <c r="N12" i="8" s="1"/>
  <c r="S11" i="8"/>
  <c r="J11" i="8"/>
  <c r="N11" i="8" s="1"/>
  <c r="S10" i="8"/>
  <c r="J10" i="8"/>
  <c r="N10" i="8" s="1"/>
  <c r="S9" i="8"/>
  <c r="J9" i="8"/>
  <c r="N9" i="8" s="1"/>
  <c r="S8" i="8"/>
  <c r="J8" i="8"/>
  <c r="N8" i="8" s="1"/>
  <c r="S7" i="8"/>
  <c r="J7" i="8"/>
  <c r="N7" i="8" s="1"/>
  <c r="S6" i="8"/>
  <c r="J6" i="8"/>
  <c r="G6" i="8"/>
  <c r="S5" i="8"/>
  <c r="J5" i="8"/>
  <c r="N5" i="8" s="1"/>
  <c r="N20" i="8" l="1"/>
  <c r="T20" i="8" s="1"/>
  <c r="N19" i="8"/>
  <c r="T19" i="8" s="1"/>
  <c r="N6" i="8"/>
  <c r="T6" i="8" s="1"/>
  <c r="T34" i="8"/>
  <c r="T47" i="8"/>
  <c r="T50" i="8"/>
  <c r="T7" i="8"/>
  <c r="N49" i="8"/>
  <c r="T49" i="8" s="1"/>
  <c r="T21" i="8"/>
  <c r="T23" i="8"/>
  <c r="T25" i="8"/>
  <c r="N40" i="8"/>
  <c r="T40" i="8" s="1"/>
  <c r="T38" i="8"/>
  <c r="T41" i="8"/>
  <c r="T43" i="8"/>
  <c r="T5" i="8"/>
  <c r="T42" i="8"/>
  <c r="T22" i="8"/>
  <c r="T24" i="8"/>
  <c r="N26" i="8"/>
  <c r="T26" i="8" s="1"/>
  <c r="N33" i="8"/>
  <c r="T33" i="8" s="1"/>
  <c r="T37" i="8"/>
  <c r="N39" i="8"/>
  <c r="T39" i="8" s="1"/>
  <c r="N48" i="8"/>
  <c r="T48" i="8" s="1"/>
  <c r="T10" i="8"/>
  <c r="T14" i="8"/>
  <c r="T18" i="8"/>
  <c r="T9" i="8"/>
  <c r="T13" i="8"/>
  <c r="T17" i="8"/>
  <c r="T27" i="8"/>
  <c r="T29" i="8"/>
  <c r="N31" i="8"/>
  <c r="T31" i="8" s="1"/>
  <c r="N36" i="8"/>
  <c r="T36" i="8" s="1"/>
  <c r="N44" i="8"/>
  <c r="T44" i="8" s="1"/>
  <c r="N46" i="8"/>
  <c r="T46" i="8" s="1"/>
  <c r="T53" i="8"/>
  <c r="T55" i="8"/>
  <c r="T8" i="8"/>
  <c r="T12" i="8"/>
  <c r="T16" i="8"/>
  <c r="T32" i="8"/>
  <c r="T11" i="8"/>
  <c r="T15" i="8"/>
  <c r="T28" i="8"/>
  <c r="T30" i="8"/>
  <c r="N35" i="8"/>
  <c r="T35" i="8" s="1"/>
  <c r="T45" i="8"/>
  <c r="T52" i="8"/>
  <c r="T54" i="8"/>
  <c r="T51" i="8"/>
  <c r="I57" i="7"/>
  <c r="T56" i="8" l="1"/>
  <c r="H27" i="7"/>
  <c r="H41" i="7"/>
  <c r="L21" i="7"/>
  <c r="L22" i="7"/>
  <c r="L23" i="7"/>
  <c r="L24" i="7"/>
  <c r="L25" i="7"/>
  <c r="L26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6" i="7"/>
  <c r="L7" i="7"/>
  <c r="L8" i="7"/>
  <c r="L9" i="7"/>
  <c r="L10" i="7"/>
  <c r="L11" i="7"/>
  <c r="L12" i="7"/>
  <c r="L13" i="7"/>
  <c r="L14" i="7"/>
  <c r="L15" i="7"/>
  <c r="L17" i="7"/>
  <c r="L18" i="7"/>
  <c r="L19" i="7"/>
  <c r="L20" i="7"/>
  <c r="L5" i="7"/>
  <c r="K27" i="7"/>
  <c r="K41" i="7"/>
  <c r="Q22" i="7"/>
  <c r="R22" i="7"/>
  <c r="M22" i="7"/>
  <c r="Q52" i="7"/>
  <c r="R52" i="7"/>
  <c r="M52" i="7"/>
  <c r="Q18" i="7"/>
  <c r="M18" i="7"/>
  <c r="Q5" i="7"/>
  <c r="R5" i="7"/>
  <c r="M5" i="7"/>
  <c r="Q30" i="7"/>
  <c r="R29" i="7"/>
  <c r="M29" i="7"/>
  <c r="R47" i="7"/>
  <c r="M47" i="7"/>
  <c r="M38" i="7"/>
  <c r="R12" i="7"/>
  <c r="M12" i="7"/>
  <c r="L41" i="7" l="1"/>
  <c r="L27" i="7"/>
  <c r="Q16" i="7"/>
  <c r="O16" i="7"/>
  <c r="G8" i="7" l="1"/>
  <c r="P36" i="7"/>
  <c r="S42" i="7"/>
  <c r="G42" i="7"/>
  <c r="S40" i="7"/>
  <c r="S24" i="7"/>
  <c r="G24" i="7"/>
  <c r="G17" i="7"/>
  <c r="G9" i="7"/>
  <c r="S9" i="7"/>
  <c r="G5" i="7"/>
  <c r="S5" i="7"/>
  <c r="V36" i="7" l="1"/>
  <c r="G44" i="7"/>
  <c r="S46" i="7"/>
  <c r="G46" i="7"/>
  <c r="G13" i="7"/>
  <c r="S10" i="7"/>
  <c r="G6" i="7"/>
  <c r="G39" i="7"/>
  <c r="G23" i="7"/>
  <c r="S23" i="7"/>
  <c r="S38" i="7"/>
  <c r="G38" i="7"/>
  <c r="S51" i="7"/>
  <c r="S34" i="7"/>
  <c r="G34" i="7"/>
  <c r="U6" i="7" l="1"/>
  <c r="U7" i="7"/>
  <c r="U8" i="7"/>
  <c r="U9" i="7"/>
  <c r="U10" i="7"/>
  <c r="U12" i="7"/>
  <c r="U13" i="7"/>
  <c r="U14" i="7"/>
  <c r="U16" i="7"/>
  <c r="U17" i="7"/>
  <c r="U18" i="7"/>
  <c r="U19" i="7"/>
  <c r="U20" i="7"/>
  <c r="U22" i="7"/>
  <c r="U23" i="7"/>
  <c r="U24" i="7"/>
  <c r="U25" i="7"/>
  <c r="U26" i="7"/>
  <c r="U28" i="7"/>
  <c r="U29" i="7"/>
  <c r="U30" i="7"/>
  <c r="U31" i="7"/>
  <c r="U32" i="7"/>
  <c r="U33" i="7"/>
  <c r="U34" i="7"/>
  <c r="U35" i="7"/>
  <c r="U37" i="7"/>
  <c r="U38" i="7"/>
  <c r="U39" i="7"/>
  <c r="U40" i="7"/>
  <c r="U42" i="7"/>
  <c r="U43" i="7"/>
  <c r="U44" i="7"/>
  <c r="U46" i="7"/>
  <c r="U47" i="7"/>
  <c r="U48" i="7"/>
  <c r="U49" i="7"/>
  <c r="U50" i="7"/>
  <c r="U51" i="7"/>
  <c r="U52" i="7"/>
  <c r="U53" i="7"/>
  <c r="U54" i="7"/>
  <c r="U56" i="7"/>
  <c r="K57" i="7" l="1"/>
  <c r="H57" i="7"/>
  <c r="P56" i="7"/>
  <c r="V56" i="7" s="1"/>
  <c r="P55" i="7"/>
  <c r="V55" i="7" s="1"/>
  <c r="P54" i="7"/>
  <c r="V54" i="7" s="1"/>
  <c r="P53" i="7"/>
  <c r="V53" i="7" s="1"/>
  <c r="P52" i="7"/>
  <c r="V52" i="7" s="1"/>
  <c r="P51" i="7"/>
  <c r="V51" i="7" s="1"/>
  <c r="P50" i="7"/>
  <c r="V50" i="7" s="1"/>
  <c r="P49" i="7"/>
  <c r="V49" i="7" s="1"/>
  <c r="P48" i="7"/>
  <c r="V48" i="7" s="1"/>
  <c r="P47" i="7"/>
  <c r="V47" i="7" s="1"/>
  <c r="P46" i="7"/>
  <c r="V46" i="7" s="1"/>
  <c r="P45" i="7"/>
  <c r="V45" i="7" s="1"/>
  <c r="P44" i="7"/>
  <c r="V44" i="7" s="1"/>
  <c r="P43" i="7"/>
  <c r="V43" i="7" s="1"/>
  <c r="P42" i="7"/>
  <c r="V42" i="7" s="1"/>
  <c r="P41" i="7"/>
  <c r="V41" i="7" s="1"/>
  <c r="P40" i="7"/>
  <c r="V40" i="7" s="1"/>
  <c r="P39" i="7"/>
  <c r="V39" i="7" s="1"/>
  <c r="P38" i="7"/>
  <c r="V38" i="7" s="1"/>
  <c r="P37" i="7"/>
  <c r="V37" i="7" s="1"/>
  <c r="P35" i="7"/>
  <c r="V35" i="7" s="1"/>
  <c r="P34" i="7"/>
  <c r="V34" i="7" s="1"/>
  <c r="P33" i="7"/>
  <c r="V33" i="7" s="1"/>
  <c r="P32" i="7"/>
  <c r="V32" i="7" s="1"/>
  <c r="P31" i="7"/>
  <c r="V31" i="7" s="1"/>
  <c r="P30" i="7"/>
  <c r="V30" i="7" s="1"/>
  <c r="P29" i="7"/>
  <c r="V29" i="7" s="1"/>
  <c r="P28" i="7"/>
  <c r="V28" i="7" s="1"/>
  <c r="P27" i="7"/>
  <c r="V27" i="7" s="1"/>
  <c r="P26" i="7"/>
  <c r="V26" i="7" s="1"/>
  <c r="P25" i="7"/>
  <c r="V25" i="7" s="1"/>
  <c r="P24" i="7"/>
  <c r="V24" i="7" s="1"/>
  <c r="P23" i="7"/>
  <c r="V23" i="7" s="1"/>
  <c r="P22" i="7"/>
  <c r="V22" i="7" s="1"/>
  <c r="P21" i="7"/>
  <c r="V21" i="7" s="1"/>
  <c r="P20" i="7"/>
  <c r="V20" i="7" s="1"/>
  <c r="P19" i="7"/>
  <c r="V19" i="7" s="1"/>
  <c r="P18" i="7"/>
  <c r="V18" i="7" s="1"/>
  <c r="P17" i="7"/>
  <c r="V17" i="7" s="1"/>
  <c r="P16" i="7"/>
  <c r="V16" i="7" s="1"/>
  <c r="P15" i="7"/>
  <c r="V15" i="7" s="1"/>
  <c r="P14" i="7"/>
  <c r="V14" i="7" s="1"/>
  <c r="P13" i="7"/>
  <c r="V13" i="7" s="1"/>
  <c r="P12" i="7"/>
  <c r="V12" i="7" s="1"/>
  <c r="P11" i="7"/>
  <c r="V11" i="7" s="1"/>
  <c r="P10" i="7"/>
  <c r="V10" i="7" s="1"/>
  <c r="P9" i="7"/>
  <c r="V9" i="7" s="1"/>
  <c r="P8" i="7"/>
  <c r="V8" i="7" s="1"/>
  <c r="P7" i="7"/>
  <c r="V7" i="7" s="1"/>
  <c r="P6" i="7"/>
  <c r="V6" i="7" s="1"/>
  <c r="U5" i="7"/>
  <c r="P5" i="7"/>
  <c r="V5" i="7" l="1"/>
  <c r="Q39" i="5"/>
  <c r="S39" i="5" s="1"/>
  <c r="Q36" i="5"/>
  <c r="S36" i="5" s="1"/>
  <c r="Q35" i="5"/>
  <c r="S35" i="5" s="1"/>
  <c r="Q21" i="5"/>
  <c r="Q15" i="5"/>
  <c r="S15" i="5" s="1"/>
  <c r="Q9" i="5"/>
  <c r="S9" i="5" s="1"/>
  <c r="Q5" i="5"/>
  <c r="S5" i="5" s="1"/>
  <c r="D27" i="5"/>
  <c r="D22" i="5"/>
  <c r="Q10" i="5"/>
  <c r="S10" i="5" s="1"/>
  <c r="G42" i="5"/>
  <c r="Q6" i="5"/>
  <c r="Q34" i="5"/>
  <c r="S34" i="5" s="1"/>
  <c r="Q20" i="5"/>
  <c r="S20" i="5" s="1"/>
  <c r="Q33" i="5"/>
  <c r="S33" i="5" s="1"/>
  <c r="Q43" i="5"/>
  <c r="S43" i="5" s="1"/>
  <c r="Q41" i="5"/>
  <c r="S41" i="5" s="1"/>
  <c r="Q30" i="5"/>
  <c r="S30" i="5" s="1"/>
  <c r="Q28" i="5"/>
  <c r="S28" i="5" s="1"/>
  <c r="Q24" i="5"/>
  <c r="S24" i="5" s="1"/>
  <c r="G8" i="5"/>
  <c r="I47" i="5"/>
  <c r="H47" i="5"/>
  <c r="S46" i="5"/>
  <c r="J46" i="5"/>
  <c r="N46" i="5" s="1"/>
  <c r="S45" i="5"/>
  <c r="J45" i="5"/>
  <c r="N45" i="5" s="1"/>
  <c r="S44" i="5"/>
  <c r="J44" i="5"/>
  <c r="N44" i="5" s="1"/>
  <c r="J43" i="5"/>
  <c r="N43" i="5" s="1"/>
  <c r="S42" i="5"/>
  <c r="J42" i="5"/>
  <c r="J41" i="5"/>
  <c r="N41" i="5" s="1"/>
  <c r="S40" i="5"/>
  <c r="J40" i="5"/>
  <c r="D40" i="5"/>
  <c r="J39" i="5"/>
  <c r="N39" i="5" s="1"/>
  <c r="S38" i="5"/>
  <c r="J38" i="5"/>
  <c r="D38" i="5"/>
  <c r="S37" i="5"/>
  <c r="J37" i="5"/>
  <c r="D37" i="5"/>
  <c r="J36" i="5"/>
  <c r="N36" i="5" s="1"/>
  <c r="J35" i="5"/>
  <c r="N35" i="5" s="1"/>
  <c r="J34" i="5"/>
  <c r="N34" i="5" s="1"/>
  <c r="J33" i="5"/>
  <c r="N33" i="5" s="1"/>
  <c r="T33" i="5" s="1"/>
  <c r="S32" i="5"/>
  <c r="J32" i="5"/>
  <c r="N32" i="5" s="1"/>
  <c r="S31" i="5"/>
  <c r="J31" i="5"/>
  <c r="N31" i="5" s="1"/>
  <c r="J30" i="5"/>
  <c r="N30" i="5" s="1"/>
  <c r="S29" i="5"/>
  <c r="J29" i="5"/>
  <c r="N29" i="5" s="1"/>
  <c r="J28" i="5"/>
  <c r="S27" i="5"/>
  <c r="J27" i="5"/>
  <c r="S26" i="5"/>
  <c r="J26" i="5"/>
  <c r="N26" i="5" s="1"/>
  <c r="S25" i="5"/>
  <c r="J25" i="5"/>
  <c r="D25" i="5"/>
  <c r="J24" i="5"/>
  <c r="N24" i="5" s="1"/>
  <c r="S23" i="5"/>
  <c r="J23" i="5"/>
  <c r="N23" i="5" s="1"/>
  <c r="S22" i="5"/>
  <c r="J22" i="5"/>
  <c r="S21" i="5"/>
  <c r="J21" i="5"/>
  <c r="N21" i="5" s="1"/>
  <c r="J20" i="5"/>
  <c r="N20" i="5" s="1"/>
  <c r="T20" i="5" s="1"/>
  <c r="S19" i="5"/>
  <c r="J19" i="5"/>
  <c r="N19" i="5" s="1"/>
  <c r="S18" i="5"/>
  <c r="J18" i="5"/>
  <c r="N18" i="5" s="1"/>
  <c r="S17" i="5"/>
  <c r="J17" i="5"/>
  <c r="D17" i="5"/>
  <c r="S16" i="5"/>
  <c r="J16" i="5"/>
  <c r="D16" i="5"/>
  <c r="J15" i="5"/>
  <c r="N15" i="5" s="1"/>
  <c r="T15" i="5" s="1"/>
  <c r="S14" i="5"/>
  <c r="J14" i="5"/>
  <c r="N14" i="5" s="1"/>
  <c r="S13" i="5"/>
  <c r="J13" i="5"/>
  <c r="N13" i="5" s="1"/>
  <c r="S12" i="5"/>
  <c r="J12" i="5"/>
  <c r="N12" i="5" s="1"/>
  <c r="S11" i="5"/>
  <c r="J11" i="5"/>
  <c r="N11" i="5" s="1"/>
  <c r="J10" i="5"/>
  <c r="N10" i="5" s="1"/>
  <c r="T10" i="5" s="1"/>
  <c r="J9" i="5"/>
  <c r="N9" i="5" s="1"/>
  <c r="T9" i="5" s="1"/>
  <c r="S8" i="5"/>
  <c r="J8" i="5"/>
  <c r="S7" i="5"/>
  <c r="J7" i="5"/>
  <c r="N7" i="5" s="1"/>
  <c r="T7" i="5" s="1"/>
  <c r="S6" i="5"/>
  <c r="J6" i="5"/>
  <c r="N6" i="5" s="1"/>
  <c r="J5" i="5"/>
  <c r="N5" i="5" s="1"/>
  <c r="T6" i="5" l="1"/>
  <c r="T11" i="5"/>
  <c r="T13" i="5"/>
  <c r="T30" i="5"/>
  <c r="T36" i="5"/>
  <c r="T5" i="5"/>
  <c r="T35" i="5"/>
  <c r="T19" i="5"/>
  <c r="T21" i="5"/>
  <c r="T23" i="5"/>
  <c r="T32" i="5"/>
  <c r="T44" i="5"/>
  <c r="T46" i="5"/>
  <c r="T41" i="5"/>
  <c r="T39" i="5"/>
  <c r="T12" i="5"/>
  <c r="T14" i="5"/>
  <c r="T24" i="5"/>
  <c r="T26" i="5"/>
  <c r="T31" i="5"/>
  <c r="T45" i="5"/>
  <c r="T18" i="5"/>
  <c r="T29" i="5"/>
  <c r="T34" i="5"/>
  <c r="T43" i="5"/>
  <c r="V57" i="7"/>
  <c r="N38" i="5"/>
  <c r="T38" i="5" s="1"/>
  <c r="N40" i="5"/>
  <c r="T40" i="5" s="1"/>
  <c r="N25" i="5"/>
  <c r="T25" i="5" s="1"/>
  <c r="N16" i="5"/>
  <c r="T16" i="5" s="1"/>
  <c r="N27" i="5"/>
  <c r="T27" i="5" s="1"/>
  <c r="N17" i="5"/>
  <c r="T17" i="5" s="1"/>
  <c r="N22" i="5"/>
  <c r="T22" i="5" s="1"/>
  <c r="N28" i="5"/>
  <c r="T28" i="5" s="1"/>
  <c r="N42" i="5"/>
  <c r="T42" i="5" s="1"/>
  <c r="N37" i="5"/>
  <c r="T37" i="5" s="1"/>
  <c r="N8" i="5"/>
  <c r="T8" i="5" s="1"/>
  <c r="J6" i="1"/>
  <c r="J7" i="1"/>
  <c r="N7" i="1" s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J15" i="1"/>
  <c r="N15" i="1" s="1"/>
  <c r="J16" i="1"/>
  <c r="N16" i="1" s="1"/>
  <c r="N17" i="1"/>
  <c r="J18" i="1"/>
  <c r="N18" i="1" s="1"/>
  <c r="J19" i="1"/>
  <c r="J20" i="1"/>
  <c r="J21" i="1"/>
  <c r="N21" i="1" s="1"/>
  <c r="J22" i="1"/>
  <c r="N22" i="1" s="1"/>
  <c r="J23" i="1"/>
  <c r="N23" i="1" s="1"/>
  <c r="J24" i="1"/>
  <c r="J25" i="1"/>
  <c r="N25" i="1" s="1"/>
  <c r="J26" i="1"/>
  <c r="N27" i="1"/>
  <c r="J28" i="1"/>
  <c r="N28" i="1" s="1"/>
  <c r="J29" i="1"/>
  <c r="N29" i="1" s="1"/>
  <c r="J30" i="1"/>
  <c r="J31" i="1"/>
  <c r="N31" i="1" s="1"/>
  <c r="J32" i="1"/>
  <c r="J33" i="1"/>
  <c r="J34" i="1"/>
  <c r="N34" i="1" s="1"/>
  <c r="J35" i="1"/>
  <c r="N35" i="1" s="1"/>
  <c r="J36" i="1"/>
  <c r="N36" i="1" s="1"/>
  <c r="J37" i="1"/>
  <c r="J38" i="1"/>
  <c r="N38" i="1" s="1"/>
  <c r="J39" i="1"/>
  <c r="J40" i="1"/>
  <c r="J41" i="1"/>
  <c r="N41" i="1" s="1"/>
  <c r="J42" i="1"/>
  <c r="N42" i="1" s="1"/>
  <c r="J43" i="1"/>
  <c r="N43" i="1" s="1"/>
  <c r="J44" i="1"/>
  <c r="N44" i="1" s="1"/>
  <c r="J45" i="1"/>
  <c r="J46" i="1"/>
  <c r="J47" i="1"/>
  <c r="N47" i="1" s="1"/>
  <c r="J48" i="1"/>
  <c r="J49" i="1"/>
  <c r="J50" i="1"/>
  <c r="J51" i="1"/>
  <c r="N51" i="1" s="1"/>
  <c r="J52" i="1"/>
  <c r="N52" i="1" s="1"/>
  <c r="J53" i="1"/>
  <c r="N53" i="1" s="1"/>
  <c r="J54" i="1"/>
  <c r="N54" i="1" s="1"/>
  <c r="J55" i="1"/>
  <c r="N55" i="1" s="1"/>
  <c r="J56" i="1"/>
  <c r="N56" i="1" s="1"/>
  <c r="J57" i="1"/>
  <c r="N57" i="1" s="1"/>
  <c r="N58" i="1"/>
  <c r="J5" i="1"/>
  <c r="N5" i="1" s="1"/>
  <c r="H59" i="1"/>
  <c r="I59" i="1"/>
  <c r="T47" i="5" l="1"/>
  <c r="O32" i="1"/>
  <c r="S32" i="1" s="1"/>
  <c r="T42" i="1"/>
  <c r="Q49" i="1"/>
  <c r="S49" i="1" s="1"/>
  <c r="G49" i="1"/>
  <c r="N49" i="1" s="1"/>
  <c r="Q41" i="1"/>
  <c r="Q10" i="1"/>
  <c r="Q5" i="1"/>
  <c r="S5" i="1" s="1"/>
  <c r="D32" i="1"/>
  <c r="N32" i="1" s="1"/>
  <c r="D46" i="1"/>
  <c r="N46" i="1" s="1"/>
  <c r="D19" i="1"/>
  <c r="N19" i="1" s="1"/>
  <c r="D50" i="1"/>
  <c r="N50" i="1" s="1"/>
  <c r="D48" i="1"/>
  <c r="N48" i="1" s="1"/>
  <c r="D30" i="1"/>
  <c r="N30" i="1" s="1"/>
  <c r="D26" i="1"/>
  <c r="N26" i="1" s="1"/>
  <c r="D20" i="1"/>
  <c r="N20" i="1" s="1"/>
  <c r="G14" i="1"/>
  <c r="N14" i="1" s="1"/>
  <c r="Q11" i="1"/>
  <c r="S11" i="1" s="1"/>
  <c r="G6" i="1"/>
  <c r="N6" i="1" s="1"/>
  <c r="G40" i="1"/>
  <c r="N40" i="1" s="1"/>
  <c r="G24" i="1"/>
  <c r="N24" i="1" s="1"/>
  <c r="G39" i="1"/>
  <c r="N39" i="1" s="1"/>
  <c r="D37" i="1"/>
  <c r="N37" i="1" s="1"/>
  <c r="Q53" i="1"/>
  <c r="S53" i="1" s="1"/>
  <c r="G33" i="1"/>
  <c r="N33" i="1" s="1"/>
  <c r="S6" i="1"/>
  <c r="S7" i="1"/>
  <c r="S8" i="1"/>
  <c r="S10" i="1"/>
  <c r="S13" i="1"/>
  <c r="S14" i="1"/>
  <c r="S15" i="1"/>
  <c r="S17" i="1"/>
  <c r="S18" i="1"/>
  <c r="S19" i="1"/>
  <c r="S20" i="1"/>
  <c r="S21" i="1"/>
  <c r="S23" i="1"/>
  <c r="S24" i="1"/>
  <c r="S25" i="1"/>
  <c r="S26" i="1"/>
  <c r="S29" i="1"/>
  <c r="S30" i="1"/>
  <c r="S31" i="1"/>
  <c r="S33" i="1"/>
  <c r="S34" i="1"/>
  <c r="S35" i="1"/>
  <c r="S36" i="1"/>
  <c r="S38" i="1"/>
  <c r="S39" i="1"/>
  <c r="S40" i="1"/>
  <c r="S44" i="1"/>
  <c r="S45" i="1"/>
  <c r="S46" i="1"/>
  <c r="S48" i="1"/>
  <c r="S50" i="1"/>
  <c r="S51" i="1"/>
  <c r="S52" i="1"/>
  <c r="S54" i="1"/>
  <c r="S55" i="1"/>
  <c r="S56" i="1"/>
  <c r="S58" i="1"/>
  <c r="D45" i="1"/>
  <c r="N45" i="1" s="1"/>
  <c r="S41" i="1" l="1"/>
  <c r="T57" i="1"/>
  <c r="T54" i="1"/>
  <c r="T50" i="1"/>
  <c r="T53" i="1"/>
  <c r="T55" i="1"/>
  <c r="T51" i="1"/>
  <c r="T47" i="1"/>
  <c r="T43" i="1"/>
  <c r="T38" i="1"/>
  <c r="T34" i="1"/>
  <c r="T30" i="1"/>
  <c r="T26" i="1"/>
  <c r="T22" i="1"/>
  <c r="T18" i="1"/>
  <c r="T14" i="1"/>
  <c r="T10" i="1"/>
  <c r="T6" i="1"/>
  <c r="T49" i="1"/>
  <c r="T56" i="1"/>
  <c r="T52" i="1"/>
  <c r="T48" i="1"/>
  <c r="T58" i="1"/>
  <c r="T46" i="1"/>
  <c r="T41" i="1"/>
  <c r="T37" i="1"/>
  <c r="T33" i="1"/>
  <c r="T29" i="1"/>
  <c r="T25" i="1"/>
  <c r="T21" i="1"/>
  <c r="T17" i="1"/>
  <c r="T13" i="1"/>
  <c r="T9" i="1"/>
  <c r="T40" i="1"/>
  <c r="T36" i="1"/>
  <c r="T32" i="1"/>
  <c r="T28" i="1"/>
  <c r="T24" i="1"/>
  <c r="T20" i="1"/>
  <c r="T16" i="1"/>
  <c r="T12" i="1"/>
  <c r="T8" i="1"/>
  <c r="T44" i="1"/>
  <c r="T39" i="1"/>
  <c r="T35" i="1"/>
  <c r="T31" i="1"/>
  <c r="T23" i="1"/>
  <c r="T19" i="1"/>
  <c r="T15" i="1"/>
  <c r="T11" i="1"/>
  <c r="T7" i="1"/>
  <c r="T45" i="1"/>
  <c r="T5" i="1" l="1"/>
  <c r="T59" i="1" s="1"/>
  <c r="U57" i="11"/>
</calcChain>
</file>

<file path=xl/comments1.xml><?xml version="1.0" encoding="utf-8"?>
<comments xmlns="http://schemas.openxmlformats.org/spreadsheetml/2006/main">
  <authors>
    <author>Cristiana Perlengeiro da Silva</author>
  </authors>
  <commentList>
    <comment ref="H57" authorId="0" shapeId="0">
      <text>
        <r>
          <rPr>
            <b/>
            <sz val="9"/>
            <color indexed="81"/>
            <rFont val="Segoe UI"/>
            <charset val="1"/>
          </rPr>
          <t>Cristiana Perlengeiro da Silva:</t>
        </r>
        <r>
          <rPr>
            <sz val="9"/>
            <color indexed="81"/>
            <rFont val="Segoe UI"/>
            <charset val="1"/>
          </rPr>
          <t xml:space="preserve">
- 120,00 referente ao termino do contrato
</t>
        </r>
      </text>
    </comment>
  </commentList>
</comments>
</file>

<file path=xl/sharedStrings.xml><?xml version="1.0" encoding="utf-8"?>
<sst xmlns="http://schemas.openxmlformats.org/spreadsheetml/2006/main" count="2538" uniqueCount="141">
  <si>
    <t>Nome</t>
  </si>
  <si>
    <t>Cargo</t>
  </si>
  <si>
    <t>Centro de Custo</t>
  </si>
  <si>
    <t>Remuneração</t>
  </si>
  <si>
    <t>Férias</t>
  </si>
  <si>
    <t>Hora Extra</t>
  </si>
  <si>
    <t>Auxílios e Benefícios</t>
  </si>
  <si>
    <t>Desc. Indev. De horas</t>
  </si>
  <si>
    <t>Dif. de férias e 1/3</t>
  </si>
  <si>
    <t>Gratificação</t>
  </si>
  <si>
    <t>Total de rendimentos</t>
  </si>
  <si>
    <t>IR</t>
  </si>
  <si>
    <t>INSS</t>
  </si>
  <si>
    <t>Outros descontos</t>
  </si>
  <si>
    <t>Total Descontos</t>
  </si>
  <si>
    <t>Liquido Total</t>
  </si>
  <si>
    <t>Abono pecuniário</t>
  </si>
  <si>
    <t xml:space="preserve">ALBA VALERIA DO NASCIMENTO GOUVEA GUIMARÃES </t>
  </si>
  <si>
    <t xml:space="preserve">ALBERTO CAVALCANTE DOS SANTOS </t>
  </si>
  <si>
    <t xml:space="preserve">ALEKSANDRO THOMAZ AMORIM </t>
  </si>
  <si>
    <t xml:space="preserve">ALESSANDRA DE SOUSA VANDELLI CARNEIRO </t>
  </si>
  <si>
    <t>AMELIA CRISTINA SILVA LIRIO</t>
  </si>
  <si>
    <t>ANDERSON SOARES GASPAR</t>
  </si>
  <si>
    <t xml:space="preserve">BIANCA GONÇALVES DA SILVA </t>
  </si>
  <si>
    <t xml:space="preserve">BRENDA RODRIGUES PEREIRA DE SOUZA </t>
  </si>
  <si>
    <t>CARLA DIAS BELMONTE</t>
  </si>
  <si>
    <t>CAROLINA DANZER FERREIRA MACIEL</t>
  </si>
  <si>
    <t>CAROLINA MARTINS DE VILHENA</t>
  </si>
  <si>
    <t>CRISTIANA PERLENGEIRO DA SILVA</t>
  </si>
  <si>
    <t xml:space="preserve">DEBORA SILVA GUINTHER </t>
  </si>
  <si>
    <t xml:space="preserve">DIANE BIANCHI DA COSTA E SILVA </t>
  </si>
  <si>
    <t>ELAINE MACHADO ROSSI</t>
  </si>
  <si>
    <t xml:space="preserve">FLÁVIO VIDIGAL DE CARVALHO PEREIRA </t>
  </si>
  <si>
    <t>FRANCISCA CHAGAS ALVES RODRIGUES</t>
  </si>
  <si>
    <t>GUILHERME COSTA DA FONSECA</t>
  </si>
  <si>
    <t>GUSTAVO ADOLFO DE ARAUJO GOMES LAPIDO LOUREIRO</t>
  </si>
  <si>
    <t xml:space="preserve">GUSTAVO DA SILVA AFONSO </t>
  </si>
  <si>
    <t xml:space="preserve">IVAN DE MENEZES HONORIO </t>
  </si>
  <si>
    <t>JOÃO PAULO BALSINI</t>
  </si>
  <si>
    <t xml:space="preserve">JOYCE PARDAVILA DE CARVALHO </t>
  </si>
  <si>
    <t xml:space="preserve">LETICIA PINHEIRO FERNANDES </t>
  </si>
  <si>
    <t xml:space="preserve">LETICIA RIBEIRO JACOME </t>
  </si>
  <si>
    <t>LILIANE LOPES BRANDÃO TROCATE</t>
  </si>
  <si>
    <t xml:space="preserve">MARCIA CÂMARA BANDEIRA DE FIGUEIREDO </t>
  </si>
  <si>
    <t>MARCOS ANDRE DE SOUZA RIBEIRO JUNIOR</t>
  </si>
  <si>
    <t>MARIA CAROLINA ROMÃO MAMEDE</t>
  </si>
  <si>
    <t>MARIANA DE MENEZES PIEDADE</t>
  </si>
  <si>
    <t>MARINA BURGES OLMOS</t>
  </si>
  <si>
    <t>MARITA BOOS ALVES DA SILVA</t>
  </si>
  <si>
    <t>MARTA DOS SANTOS VALIM</t>
  </si>
  <si>
    <t>MAURICIO DE ARAUJO ALVES DIAS</t>
  </si>
  <si>
    <t xml:space="preserve">MIDIÃ COZENDEY PITTA GOULART DE ALCÂNTARA </t>
  </si>
  <si>
    <t xml:space="preserve">MILENA MARIA ARANTES CHAVES </t>
  </si>
  <si>
    <t xml:space="preserve">MURILO SEARA DA SILVEIRA E AZEVEDO </t>
  </si>
  <si>
    <t>NATHALIA PORTO AIELLO PRAES</t>
  </si>
  <si>
    <t xml:space="preserve">PATRICIA OLIVEIRA FAGUNDES </t>
  </si>
  <si>
    <t xml:space="preserve">PAULA CRISTINA CARDOZO DE FRANÇA </t>
  </si>
  <si>
    <t>RAQUEL PILLON ALMEIDA</t>
  </si>
  <si>
    <t xml:space="preserve">RICARDO DE SALES CAMACHO </t>
  </si>
  <si>
    <t xml:space="preserve">RODRIGO ABBADE PINTO DE OLIVEIRA </t>
  </si>
  <si>
    <t>RODRIGO PINHO LEITE</t>
  </si>
  <si>
    <t>ROSANE BARRETO GOMES</t>
  </si>
  <si>
    <t>SHIRLEY BARBOSA DE OLIVEIRA</t>
  </si>
  <si>
    <t>STEFANO GUIMARÃES KLAPPOTH DE MORAIS</t>
  </si>
  <si>
    <t>TAIZA DA SILVA GAMA</t>
  </si>
  <si>
    <t xml:space="preserve">TATIANA DE SOUZA MOURA </t>
  </si>
  <si>
    <t>VITOR JULIANO PANTOZZI VAZ</t>
  </si>
  <si>
    <t>WILL ROBSON COELHO</t>
  </si>
  <si>
    <t>ASSISTENTE TECNICO</t>
  </si>
  <si>
    <t>ASSISTENTE ADMINISTRATIVO</t>
  </si>
  <si>
    <t>GERENTE FINANCEIRO</t>
  </si>
  <si>
    <t>ASSESSOR ESPECIAL</t>
  </si>
  <si>
    <t>ESTAGIÁRIO</t>
  </si>
  <si>
    <t>ASSESSOR CHEFE DO JURIDICO</t>
  </si>
  <si>
    <t>AUDITOR</t>
  </si>
  <si>
    <t xml:space="preserve">GERENTE GERAL </t>
  </si>
  <si>
    <t>ANALISTA TECNICO</t>
  </si>
  <si>
    <t>AGENTE DE FISCALIZAÇÃO</t>
  </si>
  <si>
    <t xml:space="preserve">GERENTE ADMINISTRATIVO </t>
  </si>
  <si>
    <t>GERENTE DE FISCALIZAÇÃO</t>
  </si>
  <si>
    <t>ASSISTENTE DE SISTEMAS</t>
  </si>
  <si>
    <t>ESPECIALISTA JURIDICO</t>
  </si>
  <si>
    <t>GERENTE TECNICO</t>
  </si>
  <si>
    <t>ASSISTENTE FINANCEIRO</t>
  </si>
  <si>
    <t>CHEFE DE GABINETE DA PRESIDÊNCIA</t>
  </si>
  <si>
    <t>ASSESSOR CHEFE DE COMUNICAÇÃO</t>
  </si>
  <si>
    <t>ESPECIALISTA COMUNICAÇÃO</t>
  </si>
  <si>
    <t>ESPECIALISTA FINANCEIRO</t>
  </si>
  <si>
    <t xml:space="preserve">SECRETARIA GERAL DE MESA </t>
  </si>
  <si>
    <t xml:space="preserve">ESPECIALISTA JURIDICO </t>
  </si>
  <si>
    <t xml:space="preserve">ESPECIALISTA FINANCEIRO </t>
  </si>
  <si>
    <t xml:space="preserve">SECRETARIO EXECUTIVO </t>
  </si>
  <si>
    <t>GERENCIA TECNICA/ATENDIMENTO</t>
  </si>
  <si>
    <t>SECRETARIA DA MESA</t>
  </si>
  <si>
    <t>GERENCIA FINANCEIRA</t>
  </si>
  <si>
    <t>PRESIDENCIA</t>
  </si>
  <si>
    <t xml:space="preserve">GERENCIA DE FISCALIZAÇÃO </t>
  </si>
  <si>
    <t>GERENCIA TECNICA/TECNICA</t>
  </si>
  <si>
    <t>ASSESSORIA JURIDICA</t>
  </si>
  <si>
    <t>AUDITORIA</t>
  </si>
  <si>
    <t>GERENCIA ADMINISTRATIVA</t>
  </si>
  <si>
    <t>ASSESSORIA DE TI</t>
  </si>
  <si>
    <t>ASSESSORIA DE COMUNICAÇÃO</t>
  </si>
  <si>
    <t>VT</t>
  </si>
  <si>
    <t>JULIA EBEL DE CASTRO</t>
  </si>
  <si>
    <t>CAMILA CARNEIRO DA ROCHA CARVALHO</t>
  </si>
  <si>
    <t>GERENCIA DE FISCALIZAÇÃO</t>
  </si>
  <si>
    <t>VA/VR</t>
  </si>
  <si>
    <t>ADIANTAMENTO DA 1ª PARCELA DO 13º SALÁRIO</t>
  </si>
  <si>
    <t>Total Líquido</t>
  </si>
  <si>
    <t>2ª Parcela 13º</t>
  </si>
  <si>
    <t>1ª Parcela 13º</t>
  </si>
  <si>
    <t>ANO: 2016</t>
  </si>
  <si>
    <t>MÊS: MARÇO</t>
  </si>
  <si>
    <t>Abono Pecuniário</t>
  </si>
  <si>
    <t>Total de Rendimentos</t>
  </si>
  <si>
    <t>Outros Descontos</t>
  </si>
  <si>
    <t>CYNTHIA ATTIE  - Convênio CREA-RJ / CAU/RJ</t>
  </si>
  <si>
    <t>Creche</t>
  </si>
  <si>
    <t>MARINA COELHO MENDES</t>
  </si>
  <si>
    <t>MÊS: MAIO</t>
  </si>
  <si>
    <t>MÊS: ABRIL</t>
  </si>
  <si>
    <t>MÊS: FEVEREIRO</t>
  </si>
  <si>
    <t>MÊS: JANEIRO</t>
  </si>
  <si>
    <t xml:space="preserve"> </t>
  </si>
  <si>
    <t>MÊS: JUNHO</t>
  </si>
  <si>
    <t>Desc. Indev. de horas</t>
  </si>
  <si>
    <t>Desc. Indev.</t>
  </si>
  <si>
    <t>JOÃO PAULO BALSINI - Licença Médica</t>
  </si>
  <si>
    <t>SUELEN MADEIRA ARAUJO</t>
  </si>
  <si>
    <t>MÊS: JULHO</t>
  </si>
  <si>
    <t>FRANCIS DAVID BARROS MARTINS</t>
  </si>
  <si>
    <t>MÊS:AGOSTO</t>
  </si>
  <si>
    <t>JESSICA ROCHA LIMA</t>
  </si>
  <si>
    <t>MÊS:SETEMBRO</t>
  </si>
  <si>
    <t>PAULA CRISTINA CARDOZO DE FRANCA</t>
  </si>
  <si>
    <t>MÊS:OUTUBRO</t>
  </si>
  <si>
    <t>NANDERSON DE CARVALHO PANTOJA</t>
  </si>
  <si>
    <t>MÊS:NOVEMBRO</t>
  </si>
  <si>
    <t>MÊS:DEZEMBRO</t>
  </si>
  <si>
    <t>2ª PARCELA DO 13º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</si>
</sst>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_);[Red]\(&quot;R$ &quot;#,##0.00\)"/>
    <numFmt numFmtId="167" formatCode="&quot;R$&quot;\ #,##0.00;[Red]&quot;R$&quot;\ #,##0.00"/>
    <numFmt numFmtId="168" formatCode="000.00"/>
    <numFmt numFmtId="169" formatCode="000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4" fillId="0" borderId="0"/>
    <xf numFmtId="0" fontId="5" fillId="0" borderId="0"/>
  </cellStyleXfs>
  <cellXfs count="62">
    <xf numFmtId="0" fontId="0" fillId="0" borderId="0" xfId="0"/>
    <xf numFmtId="164" fontId="2" fillId="0" borderId="0" xfId="0" applyNumberFormat="1" applyFont="1"/>
    <xf numFmtId="0" fontId="0" fillId="0" borderId="0" xfId="0" applyFont="1"/>
    <xf numFmtId="167" fontId="0" fillId="0" borderId="0" xfId="0" applyNumberFormat="1" applyFont="1"/>
    <xf numFmtId="0" fontId="9" fillId="0" borderId="0" xfId="0" applyFont="1"/>
    <xf numFmtId="164" fontId="2" fillId="3" borderId="0" xfId="0" applyNumberFormat="1" applyFont="1" applyFill="1"/>
    <xf numFmtId="0" fontId="6" fillId="0" borderId="1" xfId="2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7" fontId="6" fillId="0" borderId="1" xfId="0" applyNumberFormat="1" applyFont="1" applyFill="1" applyBorder="1" applyAlignment="1">
      <alignment horizontal="center"/>
    </xf>
    <xf numFmtId="164" fontId="0" fillId="0" borderId="1" xfId="1" applyFont="1" applyBorder="1"/>
    <xf numFmtId="0" fontId="6" fillId="0" borderId="1" xfId="2" applyNumberFormat="1" applyFont="1" applyFill="1" applyBorder="1" applyAlignment="1">
      <alignment horizontal="left" vertical="center"/>
    </xf>
    <xf numFmtId="166" fontId="6" fillId="0" borderId="1" xfId="3" applyNumberFormat="1" applyFont="1" applyFill="1" applyBorder="1" applyAlignment="1" applyProtection="1">
      <alignment horizontal="left" vertical="center"/>
      <protection locked="0"/>
    </xf>
    <xf numFmtId="164" fontId="7" fillId="0" borderId="1" xfId="1" applyFont="1" applyFill="1" applyBorder="1" applyAlignment="1" applyProtection="1">
      <alignment horizontal="right" vertical="top"/>
      <protection locked="0"/>
    </xf>
    <xf numFmtId="0" fontId="8" fillId="0" borderId="1" xfId="2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4" applyFont="1" applyFill="1" applyBorder="1" applyAlignment="1" applyProtection="1">
      <alignment horizontal="left"/>
      <protection locked="0"/>
    </xf>
    <xf numFmtId="0" fontId="6" fillId="0" borderId="1" xfId="4" applyFont="1" applyFill="1" applyBorder="1" applyAlignment="1" applyProtection="1">
      <alignment horizontal="left"/>
      <protection locked="0"/>
    </xf>
    <xf numFmtId="166" fontId="6" fillId="0" borderId="1" xfId="3" applyNumberFormat="1" applyFont="1" applyFill="1" applyBorder="1" applyAlignment="1" applyProtection="1">
      <alignment horizontal="left"/>
      <protection locked="0"/>
    </xf>
    <xf numFmtId="168" fontId="7" fillId="0" borderId="1" xfId="5" applyNumberFormat="1" applyFont="1" applyFill="1" applyBorder="1" applyAlignment="1" applyProtection="1">
      <alignment horizontal="right" vertical="top"/>
      <protection locked="0"/>
    </xf>
    <xf numFmtId="164" fontId="0" fillId="0" borderId="1" xfId="1" applyFont="1" applyFill="1" applyBorder="1"/>
    <xf numFmtId="0" fontId="0" fillId="0" borderId="1" xfId="0" applyFont="1" applyBorder="1"/>
    <xf numFmtId="0" fontId="11" fillId="0" borderId="0" xfId="2" applyNumberFormat="1" applyFont="1" applyFill="1" applyBorder="1" applyAlignment="1">
      <alignment horizontal="left"/>
    </xf>
    <xf numFmtId="164" fontId="10" fillId="0" borderId="1" xfId="1" applyFont="1" applyFill="1" applyBorder="1" applyAlignment="1" applyProtection="1">
      <alignment horizontal="right" vertical="top"/>
      <protection locked="0"/>
    </xf>
    <xf numFmtId="169" fontId="10" fillId="0" borderId="1" xfId="5" applyNumberFormat="1" applyFont="1" applyFill="1" applyBorder="1" applyAlignment="1" applyProtection="1">
      <alignment horizontal="right" vertical="top"/>
      <protection locked="0"/>
    </xf>
    <xf numFmtId="168" fontId="10" fillId="0" borderId="1" xfId="5" applyNumberFormat="1" applyFont="1" applyFill="1" applyBorder="1" applyAlignment="1" applyProtection="1">
      <alignment horizontal="right" vertical="top"/>
      <protection locked="0"/>
    </xf>
    <xf numFmtId="167" fontId="0" fillId="0" borderId="1" xfId="1" applyNumberFormat="1" applyFont="1" applyFill="1" applyBorder="1"/>
    <xf numFmtId="167" fontId="0" fillId="0" borderId="1" xfId="1" applyNumberFormat="1" applyFont="1" applyBorder="1"/>
    <xf numFmtId="164" fontId="2" fillId="2" borderId="0" xfId="0" applyNumberFormat="1" applyFont="1" applyFill="1"/>
    <xf numFmtId="164" fontId="0" fillId="2" borderId="1" xfId="1" applyFont="1" applyFill="1" applyBorder="1"/>
    <xf numFmtId="0" fontId="12" fillId="4" borderId="2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/>
    <xf numFmtId="164" fontId="14" fillId="0" borderId="0" xfId="0" applyNumberFormat="1" applyFont="1"/>
    <xf numFmtId="0" fontId="6" fillId="0" borderId="0" xfId="0" applyFont="1" applyFill="1" applyBorder="1" applyAlignment="1">
      <alignment horizontal="left"/>
    </xf>
    <xf numFmtId="164" fontId="0" fillId="0" borderId="0" xfId="1" applyFont="1" applyFill="1" applyBorder="1"/>
    <xf numFmtId="0" fontId="15" fillId="0" borderId="0" xfId="0" applyFont="1" applyBorder="1"/>
    <xf numFmtId="0" fontId="0" fillId="0" borderId="0" xfId="0" applyFont="1" applyBorder="1"/>
    <xf numFmtId="164" fontId="0" fillId="0" borderId="1" xfId="1" applyNumberFormat="1" applyFont="1" applyFill="1" applyBorder="1"/>
    <xf numFmtId="164" fontId="6" fillId="0" borderId="1" xfId="4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/>
    <xf numFmtId="167" fontId="2" fillId="2" borderId="0" xfId="0" applyNumberFormat="1" applyFont="1" applyFill="1"/>
    <xf numFmtId="0" fontId="9" fillId="0" borderId="0" xfId="0" applyFont="1" applyBorder="1"/>
    <xf numFmtId="0" fontId="0" fillId="0" borderId="0" xfId="0" applyBorder="1"/>
    <xf numFmtId="164" fontId="0" fillId="2" borderId="1" xfId="1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8" fillId="0" borderId="1" xfId="0" applyFont="1" applyBorder="1"/>
    <xf numFmtId="164" fontId="8" fillId="0" borderId="1" xfId="0" applyNumberFormat="1" applyFont="1" applyBorder="1"/>
    <xf numFmtId="0" fontId="6" fillId="0" borderId="0" xfId="2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0" fontId="8" fillId="0" borderId="0" xfId="4" applyFont="1" applyFill="1" applyBorder="1" applyAlignment="1" applyProtection="1">
      <alignment horizontal="left"/>
      <protection locked="0"/>
    </xf>
    <xf numFmtId="164" fontId="0" fillId="0" borderId="3" xfId="1" applyFont="1" applyBorder="1"/>
    <xf numFmtId="164" fontId="0" fillId="0" borderId="0" xfId="1" applyFont="1" applyBorder="1"/>
    <xf numFmtId="44" fontId="0" fillId="0" borderId="1" xfId="0" applyNumberFormat="1" applyBorder="1"/>
    <xf numFmtId="44" fontId="0" fillId="0" borderId="5" xfId="0" applyNumberFormat="1" applyBorder="1"/>
    <xf numFmtId="44" fontId="0" fillId="5" borderId="4" xfId="0" applyNumberFormat="1" applyFill="1" applyBorder="1"/>
    <xf numFmtId="164" fontId="8" fillId="0" borderId="5" xfId="0" applyNumberFormat="1" applyFont="1" applyBorder="1"/>
    <xf numFmtId="164" fontId="0" fillId="5" borderId="4" xfId="0" applyNumberFormat="1" applyFill="1" applyBorder="1"/>
  </cellXfs>
  <cellStyles count="6">
    <cellStyle name="Moeda" xfId="1" builtinId="4"/>
    <cellStyle name="Normal" xfId="0" builtinId="0"/>
    <cellStyle name="Normal 2" xfId="5"/>
    <cellStyle name="Normal 3" xfId="4"/>
    <cellStyle name="Normal_Plan_5" xfId="2"/>
    <cellStyle name="Separador de milhare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23"/>
  <sheetViews>
    <sheetView showGridLines="0" view="pageLayout" zoomScaleNormal="100" workbookViewId="0"/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bestFit="1" customWidth="1"/>
    <col min="5" max="5" width="14.85546875" style="2" bestFit="1" customWidth="1"/>
    <col min="6" max="6" width="19.140625" style="2" customWidth="1"/>
    <col min="7" max="7" width="12.28515625" style="2" customWidth="1"/>
    <col min="8" max="9" width="22" style="2" hidden="1" customWidth="1"/>
    <col min="10" max="10" width="22" style="2" customWidth="1"/>
    <col min="11" max="11" width="19.7109375" style="2" customWidth="1"/>
    <col min="12" max="12" width="22.140625" style="2" customWidth="1"/>
    <col min="13" max="13" width="16.28515625" style="2" customWidth="1"/>
    <col min="14" max="14" width="20.28515625" style="2" customWidth="1"/>
    <col min="15" max="15" width="13" style="2" bestFit="1" customWidth="1"/>
    <col min="16" max="16" width="12.140625" style="2" bestFit="1" customWidth="1"/>
    <col min="17" max="17" width="18.85546875" style="2" bestFit="1" customWidth="1"/>
    <col min="18" max="18" width="11.42578125" style="2" bestFit="1" customWidth="1"/>
    <col min="19" max="19" width="17.5703125" style="2" bestFit="1" customWidth="1"/>
    <col min="20" max="20" width="14.85546875" style="2" bestFit="1" customWidth="1"/>
    <col min="21" max="16384" width="9.140625" style="2"/>
  </cols>
  <sheetData>
    <row r="1" spans="1:20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.75" x14ac:dyDescent="0.3">
      <c r="A2" s="4" t="s">
        <v>123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31.5" x14ac:dyDescent="0.25">
      <c r="A4" s="32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16</v>
      </c>
      <c r="G4" s="32" t="s">
        <v>5</v>
      </c>
      <c r="H4" s="30" t="s">
        <v>107</v>
      </c>
      <c r="I4" s="30" t="s">
        <v>103</v>
      </c>
      <c r="J4" s="33" t="s">
        <v>6</v>
      </c>
      <c r="K4" s="33" t="s">
        <v>8</v>
      </c>
      <c r="L4" s="33" t="s">
        <v>126</v>
      </c>
      <c r="M4" s="32" t="s">
        <v>9</v>
      </c>
      <c r="N4" s="33" t="s">
        <v>10</v>
      </c>
      <c r="O4" s="33" t="s">
        <v>11</v>
      </c>
      <c r="P4" s="33" t="s">
        <v>12</v>
      </c>
      <c r="Q4" s="33" t="s">
        <v>13</v>
      </c>
      <c r="R4" s="33" t="s">
        <v>103</v>
      </c>
      <c r="S4" s="32" t="s">
        <v>14</v>
      </c>
      <c r="T4" s="33" t="s">
        <v>15</v>
      </c>
    </row>
    <row r="5" spans="1:20" x14ac:dyDescent="0.25">
      <c r="A5" s="6" t="s">
        <v>17</v>
      </c>
      <c r="B5" s="7" t="s">
        <v>68</v>
      </c>
      <c r="C5" s="7" t="s">
        <v>92</v>
      </c>
      <c r="D5" s="19">
        <v>1067.7</v>
      </c>
      <c r="E5" s="9">
        <v>2135.39</v>
      </c>
      <c r="F5" s="9"/>
      <c r="G5" s="9">
        <v>70.069999999999993</v>
      </c>
      <c r="H5" s="9">
        <v>125</v>
      </c>
      <c r="I5" s="9">
        <v>90.5</v>
      </c>
      <c r="J5" s="19">
        <f t="shared" ref="J5:J55" si="0">H5+I5</f>
        <v>215.5</v>
      </c>
      <c r="K5" s="9">
        <v>711.8</v>
      </c>
      <c r="L5" s="9"/>
      <c r="M5" s="9"/>
      <c r="N5" s="19">
        <f t="shared" ref="N5:N55" si="1">D5+E5+F5+G5+J5+K5+L5+M5</f>
        <v>4200.46</v>
      </c>
      <c r="O5" s="9">
        <v>47.25</v>
      </c>
      <c r="P5" s="9">
        <f>125.16+313.19</f>
        <v>438.35</v>
      </c>
      <c r="Q5" s="9">
        <v>10.68</v>
      </c>
      <c r="R5" s="9">
        <v>32.03</v>
      </c>
      <c r="S5" s="19">
        <f t="shared" ref="S5:S12" si="2">O5+P5+Q5+R5</f>
        <v>528.31000000000006</v>
      </c>
      <c r="T5" s="19">
        <f t="shared" ref="T5:T55" si="3">N5-S5</f>
        <v>3672.15</v>
      </c>
    </row>
    <row r="6" spans="1:20" x14ac:dyDescent="0.25">
      <c r="A6" s="6" t="s">
        <v>18</v>
      </c>
      <c r="B6" s="7" t="s">
        <v>69</v>
      </c>
      <c r="C6" s="7" t="s">
        <v>93</v>
      </c>
      <c r="D6" s="19">
        <v>3203.09</v>
      </c>
      <c r="E6" s="9"/>
      <c r="F6" s="9"/>
      <c r="G6" s="9"/>
      <c r="H6" s="9">
        <v>475</v>
      </c>
      <c r="I6" s="9"/>
      <c r="J6" s="19">
        <f t="shared" si="0"/>
        <v>475</v>
      </c>
      <c r="K6" s="9"/>
      <c r="L6" s="9"/>
      <c r="M6" s="9"/>
      <c r="N6" s="19">
        <f t="shared" si="1"/>
        <v>3678.09</v>
      </c>
      <c r="O6" s="9">
        <v>42.57</v>
      </c>
      <c r="P6" s="9">
        <v>352.34</v>
      </c>
      <c r="Q6" s="9"/>
      <c r="R6" s="9"/>
      <c r="S6" s="19">
        <f t="shared" si="2"/>
        <v>394.90999999999997</v>
      </c>
      <c r="T6" s="19">
        <f t="shared" si="3"/>
        <v>3283.1800000000003</v>
      </c>
    </row>
    <row r="7" spans="1:20" x14ac:dyDescent="0.25">
      <c r="A7" s="10" t="s">
        <v>19</v>
      </c>
      <c r="B7" s="11" t="s">
        <v>70</v>
      </c>
      <c r="C7" s="11" t="s">
        <v>94</v>
      </c>
      <c r="D7" s="19">
        <v>11235</v>
      </c>
      <c r="E7" s="9"/>
      <c r="F7" s="9"/>
      <c r="G7" s="9"/>
      <c r="H7" s="9">
        <v>475</v>
      </c>
      <c r="I7" s="9"/>
      <c r="J7" s="19">
        <f t="shared" si="0"/>
        <v>475</v>
      </c>
      <c r="K7" s="9"/>
      <c r="L7" s="9"/>
      <c r="M7" s="9"/>
      <c r="N7" s="19">
        <f t="shared" si="1"/>
        <v>11710</v>
      </c>
      <c r="O7" s="9">
        <v>2011.14</v>
      </c>
      <c r="P7" s="9">
        <v>570.88</v>
      </c>
      <c r="Q7" s="9"/>
      <c r="R7" s="9"/>
      <c r="S7" s="19">
        <f t="shared" si="2"/>
        <v>2582.02</v>
      </c>
      <c r="T7" s="19">
        <f t="shared" si="3"/>
        <v>9127.98</v>
      </c>
    </row>
    <row r="8" spans="1:20" x14ac:dyDescent="0.25">
      <c r="A8" s="10" t="s">
        <v>20</v>
      </c>
      <c r="B8" s="11" t="s">
        <v>71</v>
      </c>
      <c r="C8" s="11" t="s">
        <v>95</v>
      </c>
      <c r="D8" s="19">
        <v>4688.79</v>
      </c>
      <c r="E8" s="9"/>
      <c r="F8" s="9"/>
      <c r="G8" s="9"/>
      <c r="H8" s="9">
        <v>475</v>
      </c>
      <c r="I8" s="9">
        <v>129.19999999999999</v>
      </c>
      <c r="J8" s="19">
        <f t="shared" si="0"/>
        <v>604.20000000000005</v>
      </c>
      <c r="K8" s="9"/>
      <c r="L8" s="9"/>
      <c r="M8" s="9"/>
      <c r="N8" s="19">
        <f t="shared" si="1"/>
        <v>5292.99</v>
      </c>
      <c r="O8" s="9">
        <v>217.48</v>
      </c>
      <c r="P8" s="9">
        <v>515.77</v>
      </c>
      <c r="Q8" s="9"/>
      <c r="R8" s="9">
        <v>129.19999999999999</v>
      </c>
      <c r="S8" s="19">
        <f t="shared" si="2"/>
        <v>862.45</v>
      </c>
      <c r="T8" s="19">
        <f t="shared" si="3"/>
        <v>4430.54</v>
      </c>
    </row>
    <row r="9" spans="1:20" hidden="1" x14ac:dyDescent="0.25">
      <c r="A9" s="6" t="s">
        <v>21</v>
      </c>
      <c r="B9" s="7" t="s">
        <v>72</v>
      </c>
      <c r="C9" s="7" t="s">
        <v>96</v>
      </c>
      <c r="D9" s="19">
        <v>1191.76</v>
      </c>
      <c r="E9" s="9"/>
      <c r="F9" s="9"/>
      <c r="G9" s="9"/>
      <c r="H9" s="9">
        <v>475</v>
      </c>
      <c r="I9" s="9">
        <v>224.2</v>
      </c>
      <c r="J9" s="19">
        <f t="shared" si="0"/>
        <v>699.2</v>
      </c>
      <c r="K9" s="9"/>
      <c r="L9" s="9"/>
      <c r="M9" s="9"/>
      <c r="N9" s="19">
        <f t="shared" si="1"/>
        <v>1890.96</v>
      </c>
      <c r="O9" s="9"/>
      <c r="P9" s="9"/>
      <c r="Q9" s="9"/>
      <c r="R9" s="9"/>
      <c r="S9" s="19">
        <f t="shared" si="2"/>
        <v>0</v>
      </c>
      <c r="T9" s="19">
        <f t="shared" si="3"/>
        <v>1890.96</v>
      </c>
    </row>
    <row r="10" spans="1:20" x14ac:dyDescent="0.25">
      <c r="A10" s="7" t="s">
        <v>22</v>
      </c>
      <c r="B10" s="7" t="s">
        <v>68</v>
      </c>
      <c r="C10" s="7" t="s">
        <v>92</v>
      </c>
      <c r="D10" s="19">
        <v>3203.09</v>
      </c>
      <c r="E10" s="9"/>
      <c r="F10" s="9"/>
      <c r="G10" s="9"/>
      <c r="H10" s="9">
        <v>475</v>
      </c>
      <c r="I10" s="9">
        <v>224.2</v>
      </c>
      <c r="J10" s="19">
        <f t="shared" si="0"/>
        <v>699.2</v>
      </c>
      <c r="K10" s="9"/>
      <c r="L10" s="9"/>
      <c r="M10" s="9"/>
      <c r="N10" s="19">
        <f t="shared" si="1"/>
        <v>3902.29</v>
      </c>
      <c r="O10" s="9">
        <v>56.79</v>
      </c>
      <c r="P10" s="9">
        <v>352.34</v>
      </c>
      <c r="Q10" s="9">
        <v>32.03</v>
      </c>
      <c r="R10" s="9">
        <v>121.72</v>
      </c>
      <c r="S10" s="19">
        <f t="shared" si="2"/>
        <v>562.88</v>
      </c>
      <c r="T10" s="19">
        <f t="shared" si="3"/>
        <v>3339.41</v>
      </c>
    </row>
    <row r="11" spans="1:20" x14ac:dyDescent="0.25">
      <c r="A11" s="6" t="s">
        <v>23</v>
      </c>
      <c r="B11" s="7" t="s">
        <v>68</v>
      </c>
      <c r="C11" s="7" t="s">
        <v>96</v>
      </c>
      <c r="D11" s="19">
        <v>1174.47</v>
      </c>
      <c r="E11" s="9">
        <v>2028.62</v>
      </c>
      <c r="F11" s="9"/>
      <c r="G11" s="9"/>
      <c r="H11" s="9">
        <v>125</v>
      </c>
      <c r="I11" s="9">
        <v>34</v>
      </c>
      <c r="J11" s="19">
        <f t="shared" si="0"/>
        <v>159</v>
      </c>
      <c r="K11" s="9">
        <v>676.21</v>
      </c>
      <c r="L11" s="9"/>
      <c r="M11" s="9"/>
      <c r="N11" s="19">
        <f t="shared" si="1"/>
        <v>4038.3</v>
      </c>
      <c r="O11" s="9">
        <v>37.75</v>
      </c>
      <c r="P11" s="9">
        <f>129.19+297.53</f>
        <v>426.71999999999997</v>
      </c>
      <c r="Q11" s="9">
        <v>11.74</v>
      </c>
      <c r="R11" s="9">
        <v>32.03</v>
      </c>
      <c r="S11" s="19">
        <f t="shared" si="2"/>
        <v>508.24</v>
      </c>
      <c r="T11" s="19">
        <f t="shared" si="3"/>
        <v>3530.0600000000004</v>
      </c>
    </row>
    <row r="12" spans="1:20" hidden="1" x14ac:dyDescent="0.25">
      <c r="A12" s="6" t="s">
        <v>24</v>
      </c>
      <c r="B12" s="7" t="s">
        <v>72</v>
      </c>
      <c r="C12" s="7" t="s">
        <v>97</v>
      </c>
      <c r="D12" s="19">
        <v>1191.76</v>
      </c>
      <c r="E12" s="9"/>
      <c r="F12" s="9"/>
      <c r="G12" s="9"/>
      <c r="H12" s="9">
        <v>475</v>
      </c>
      <c r="I12" s="9">
        <v>269.8</v>
      </c>
      <c r="J12" s="19">
        <f t="shared" si="0"/>
        <v>744.8</v>
      </c>
      <c r="K12" s="9"/>
      <c r="L12" s="9"/>
      <c r="M12" s="9"/>
      <c r="N12" s="19">
        <f t="shared" si="1"/>
        <v>1936.56</v>
      </c>
      <c r="O12" s="9"/>
      <c r="P12" s="9"/>
      <c r="Q12" s="9"/>
      <c r="R12" s="9"/>
      <c r="S12" s="19">
        <f t="shared" si="2"/>
        <v>0</v>
      </c>
      <c r="T12" s="19">
        <f t="shared" si="3"/>
        <v>1936.56</v>
      </c>
    </row>
    <row r="13" spans="1:20" hidden="1" x14ac:dyDescent="0.25">
      <c r="A13" s="6" t="s">
        <v>105</v>
      </c>
      <c r="B13" s="7" t="s">
        <v>72</v>
      </c>
      <c r="C13" s="7" t="s">
        <v>98</v>
      </c>
      <c r="D13" s="19">
        <v>1191.76</v>
      </c>
      <c r="E13" s="9"/>
      <c r="F13" s="9"/>
      <c r="G13" s="9"/>
      <c r="H13" s="9">
        <v>300</v>
      </c>
      <c r="I13" s="9">
        <v>81.599999999999994</v>
      </c>
      <c r="J13" s="19">
        <f t="shared" si="0"/>
        <v>381.6</v>
      </c>
      <c r="K13" s="9"/>
      <c r="L13" s="9"/>
      <c r="M13" s="9"/>
      <c r="N13" s="19">
        <f t="shared" si="1"/>
        <v>1573.3600000000001</v>
      </c>
      <c r="O13" s="9"/>
      <c r="P13" s="9"/>
      <c r="Q13" s="9"/>
      <c r="R13" s="9"/>
      <c r="S13" s="19"/>
      <c r="T13" s="19">
        <f t="shared" si="3"/>
        <v>1573.3600000000001</v>
      </c>
    </row>
    <row r="14" spans="1:20" x14ac:dyDescent="0.25">
      <c r="A14" s="7" t="s">
        <v>25</v>
      </c>
      <c r="B14" s="7" t="s">
        <v>73</v>
      </c>
      <c r="C14" s="7" t="s">
        <v>98</v>
      </c>
      <c r="D14" s="19">
        <v>8554.7000000000007</v>
      </c>
      <c r="E14" s="12"/>
      <c r="F14" s="9"/>
      <c r="G14" s="9"/>
      <c r="H14" s="9">
        <v>475</v>
      </c>
      <c r="I14" s="9"/>
      <c r="J14" s="19">
        <f t="shared" si="0"/>
        <v>475</v>
      </c>
      <c r="K14" s="12"/>
      <c r="L14" s="9"/>
      <c r="M14" s="9"/>
      <c r="N14" s="19">
        <f t="shared" si="1"/>
        <v>9029.7000000000007</v>
      </c>
      <c r="O14" s="9">
        <v>1326.19</v>
      </c>
      <c r="P14" s="9">
        <v>570.88</v>
      </c>
      <c r="Q14" s="9"/>
      <c r="R14" s="9"/>
      <c r="S14" s="19">
        <f t="shared" ref="S14:S55" si="4">O14+P14+Q14+R14</f>
        <v>1897.0700000000002</v>
      </c>
      <c r="T14" s="19">
        <f t="shared" si="3"/>
        <v>7132.630000000001</v>
      </c>
    </row>
    <row r="15" spans="1:20" x14ac:dyDescent="0.25">
      <c r="A15" s="7" t="s">
        <v>26</v>
      </c>
      <c r="B15" s="7" t="s">
        <v>68</v>
      </c>
      <c r="C15" s="7" t="s">
        <v>96</v>
      </c>
      <c r="D15" s="19">
        <v>2455.6999999999998</v>
      </c>
      <c r="E15" s="9">
        <v>747.39</v>
      </c>
      <c r="F15" s="9"/>
      <c r="G15" s="9"/>
      <c r="H15" s="9">
        <v>350</v>
      </c>
      <c r="I15" s="9">
        <v>198.8</v>
      </c>
      <c r="J15" s="19">
        <f t="shared" si="0"/>
        <v>548.79999999999995</v>
      </c>
      <c r="K15" s="9">
        <v>249.13</v>
      </c>
      <c r="L15" s="9"/>
      <c r="M15" s="9"/>
      <c r="N15" s="19">
        <f t="shared" si="1"/>
        <v>4001.0199999999995</v>
      </c>
      <c r="O15" s="9">
        <f>18.88+42.55</f>
        <v>61.429999999999993</v>
      </c>
      <c r="P15" s="9">
        <f>300.02+79.72</f>
        <v>379.74</v>
      </c>
      <c r="Q15" s="9"/>
      <c r="R15" s="9">
        <v>96.09</v>
      </c>
      <c r="S15" s="19">
        <f t="shared" si="4"/>
        <v>537.26</v>
      </c>
      <c r="T15" s="19">
        <f t="shared" si="3"/>
        <v>3463.7599999999993</v>
      </c>
    </row>
    <row r="16" spans="1:20" x14ac:dyDescent="0.25">
      <c r="A16" s="13" t="s">
        <v>27</v>
      </c>
      <c r="B16" s="14" t="s">
        <v>74</v>
      </c>
      <c r="C16" s="14" t="s">
        <v>99</v>
      </c>
      <c r="D16" s="19">
        <v>8554.7000000000007</v>
      </c>
      <c r="E16" s="9"/>
      <c r="F16" s="9"/>
      <c r="G16" s="9"/>
      <c r="H16" s="9">
        <v>375</v>
      </c>
      <c r="I16" s="9">
        <v>111</v>
      </c>
      <c r="J16" s="19">
        <f t="shared" si="0"/>
        <v>486</v>
      </c>
      <c r="K16" s="9"/>
      <c r="L16" s="9"/>
      <c r="M16" s="9"/>
      <c r="N16" s="19">
        <f t="shared" si="1"/>
        <v>9040.7000000000007</v>
      </c>
      <c r="O16" s="9">
        <v>1326.19</v>
      </c>
      <c r="P16" s="9">
        <v>570.88</v>
      </c>
      <c r="Q16" s="9"/>
      <c r="R16" s="9">
        <v>111</v>
      </c>
      <c r="S16" s="19">
        <f t="shared" si="4"/>
        <v>2008.0700000000002</v>
      </c>
      <c r="T16" s="19">
        <f t="shared" si="3"/>
        <v>7032.630000000001</v>
      </c>
    </row>
    <row r="17" spans="1:20" x14ac:dyDescent="0.25">
      <c r="A17" s="13" t="s">
        <v>117</v>
      </c>
      <c r="B17" s="15" t="s">
        <v>75</v>
      </c>
      <c r="C17" s="15" t="s">
        <v>95</v>
      </c>
      <c r="D17" s="19"/>
      <c r="E17" s="9"/>
      <c r="F17" s="9"/>
      <c r="G17" s="9"/>
      <c r="H17" s="9"/>
      <c r="I17" s="9"/>
      <c r="J17" s="19">
        <f t="shared" si="0"/>
        <v>0</v>
      </c>
      <c r="K17" s="9"/>
      <c r="L17" s="9"/>
      <c r="M17" s="9">
        <v>4940.5200000000004</v>
      </c>
      <c r="N17" s="19">
        <f t="shared" si="1"/>
        <v>4940.5200000000004</v>
      </c>
      <c r="O17" s="9">
        <v>310.55</v>
      </c>
      <c r="P17" s="9">
        <v>543.46</v>
      </c>
      <c r="Q17" s="9"/>
      <c r="R17" s="9"/>
      <c r="S17" s="19">
        <f t="shared" si="4"/>
        <v>854.01</v>
      </c>
      <c r="T17" s="19">
        <f t="shared" si="3"/>
        <v>4086.51</v>
      </c>
    </row>
    <row r="18" spans="1:20" x14ac:dyDescent="0.25">
      <c r="A18" s="6" t="s">
        <v>29</v>
      </c>
      <c r="B18" s="7" t="s">
        <v>68</v>
      </c>
      <c r="C18" s="7" t="s">
        <v>92</v>
      </c>
      <c r="D18" s="19">
        <v>3203.09</v>
      </c>
      <c r="E18" s="9"/>
      <c r="F18" s="9"/>
      <c r="G18" s="9">
        <v>283.07</v>
      </c>
      <c r="H18" s="9">
        <v>475</v>
      </c>
      <c r="I18" s="9">
        <v>269.8</v>
      </c>
      <c r="J18" s="19">
        <f t="shared" si="0"/>
        <v>744.8</v>
      </c>
      <c r="K18" s="9"/>
      <c r="L18" s="9"/>
      <c r="M18" s="9"/>
      <c r="N18" s="19">
        <f t="shared" si="1"/>
        <v>4230.96</v>
      </c>
      <c r="O18" s="9">
        <v>110.6</v>
      </c>
      <c r="P18" s="9">
        <v>383.48</v>
      </c>
      <c r="Q18" s="9">
        <v>32.03</v>
      </c>
      <c r="R18" s="9">
        <v>121.72</v>
      </c>
      <c r="S18" s="19">
        <f t="shared" si="4"/>
        <v>647.83000000000004</v>
      </c>
      <c r="T18" s="19">
        <f t="shared" si="3"/>
        <v>3583.13</v>
      </c>
    </row>
    <row r="19" spans="1:20" x14ac:dyDescent="0.25">
      <c r="A19" s="6" t="s">
        <v>30</v>
      </c>
      <c r="B19" s="7" t="s">
        <v>76</v>
      </c>
      <c r="C19" s="7" t="s">
        <v>97</v>
      </c>
      <c r="D19" s="19">
        <f>7325.93+154.07</f>
        <v>7480</v>
      </c>
      <c r="E19" s="9"/>
      <c r="F19" s="9"/>
      <c r="G19" s="9">
        <v>229.08</v>
      </c>
      <c r="H19" s="9">
        <v>475</v>
      </c>
      <c r="I19" s="9">
        <v>140.6</v>
      </c>
      <c r="J19" s="19">
        <f t="shared" si="0"/>
        <v>615.6</v>
      </c>
      <c r="K19" s="9"/>
      <c r="L19" s="9"/>
      <c r="M19" s="9"/>
      <c r="N19" s="19">
        <f t="shared" si="1"/>
        <v>8324.68</v>
      </c>
      <c r="O19" s="9">
        <v>1093.6500000000001</v>
      </c>
      <c r="P19" s="9">
        <v>570.88</v>
      </c>
      <c r="Q19" s="9"/>
      <c r="R19" s="9">
        <v>140.6</v>
      </c>
      <c r="S19" s="19">
        <f t="shared" si="4"/>
        <v>1805.13</v>
      </c>
      <c r="T19" s="19">
        <f t="shared" si="3"/>
        <v>6519.55</v>
      </c>
    </row>
    <row r="20" spans="1:20" x14ac:dyDescent="0.25">
      <c r="A20" s="6" t="s">
        <v>31</v>
      </c>
      <c r="B20" s="7" t="s">
        <v>77</v>
      </c>
      <c r="C20" s="7" t="s">
        <v>96</v>
      </c>
      <c r="D20" s="19">
        <f>7325.93+154.07</f>
        <v>7480</v>
      </c>
      <c r="E20" s="9"/>
      <c r="F20" s="9"/>
      <c r="G20" s="9"/>
      <c r="H20" s="9">
        <v>475</v>
      </c>
      <c r="I20" s="9"/>
      <c r="J20" s="19">
        <f t="shared" si="0"/>
        <v>475</v>
      </c>
      <c r="K20" s="9"/>
      <c r="L20" s="9"/>
      <c r="M20" s="9"/>
      <c r="N20" s="19">
        <f t="shared" si="1"/>
        <v>7955</v>
      </c>
      <c r="O20" s="9">
        <v>1030.6500000000001</v>
      </c>
      <c r="P20" s="9">
        <v>570.88</v>
      </c>
      <c r="Q20" s="9"/>
      <c r="R20" s="9"/>
      <c r="S20" s="19">
        <f t="shared" si="4"/>
        <v>1601.5300000000002</v>
      </c>
      <c r="T20" s="19">
        <f t="shared" si="3"/>
        <v>6353.4699999999993</v>
      </c>
    </row>
    <row r="21" spans="1:20" x14ac:dyDescent="0.25">
      <c r="A21" s="6" t="s">
        <v>32</v>
      </c>
      <c r="B21" s="7" t="s">
        <v>78</v>
      </c>
      <c r="C21" s="7" t="s">
        <v>100</v>
      </c>
      <c r="D21" s="19">
        <v>11235</v>
      </c>
      <c r="E21" s="9"/>
      <c r="F21" s="9"/>
      <c r="G21" s="9"/>
      <c r="H21" s="9">
        <v>475</v>
      </c>
      <c r="I21" s="9"/>
      <c r="J21" s="19">
        <f t="shared" si="0"/>
        <v>475</v>
      </c>
      <c r="K21" s="9"/>
      <c r="L21" s="9"/>
      <c r="M21" s="9">
        <v>2739.2</v>
      </c>
      <c r="N21" s="19">
        <f t="shared" si="1"/>
        <v>14449.2</v>
      </c>
      <c r="O21" s="9">
        <v>2816.55</v>
      </c>
      <c r="P21" s="9">
        <v>570.88</v>
      </c>
      <c r="Q21" s="9"/>
      <c r="R21" s="9"/>
      <c r="S21" s="19">
        <f t="shared" si="4"/>
        <v>3387.4300000000003</v>
      </c>
      <c r="T21" s="19">
        <f t="shared" si="3"/>
        <v>11061.77</v>
      </c>
    </row>
    <row r="22" spans="1:20" hidden="1" x14ac:dyDescent="0.25">
      <c r="A22" s="6" t="s">
        <v>33</v>
      </c>
      <c r="B22" s="7" t="s">
        <v>72</v>
      </c>
      <c r="C22" s="7" t="s">
        <v>100</v>
      </c>
      <c r="D22" s="19">
        <v>1191.76</v>
      </c>
      <c r="E22" s="9"/>
      <c r="F22" s="9"/>
      <c r="G22" s="9"/>
      <c r="H22" s="9">
        <v>475</v>
      </c>
      <c r="I22" s="9">
        <v>140.6</v>
      </c>
      <c r="J22" s="19">
        <f t="shared" si="0"/>
        <v>615.6</v>
      </c>
      <c r="K22" s="9"/>
      <c r="L22" s="9"/>
      <c r="M22" s="9"/>
      <c r="N22" s="19">
        <f t="shared" si="1"/>
        <v>1807.3600000000001</v>
      </c>
      <c r="O22" s="9"/>
      <c r="P22" s="9"/>
      <c r="Q22" s="9"/>
      <c r="R22" s="9"/>
      <c r="S22" s="19">
        <f t="shared" si="4"/>
        <v>0</v>
      </c>
      <c r="T22" s="19">
        <f t="shared" si="3"/>
        <v>1807.3600000000001</v>
      </c>
    </row>
    <row r="23" spans="1:20" x14ac:dyDescent="0.25">
      <c r="A23" s="6" t="s">
        <v>34</v>
      </c>
      <c r="B23" s="16" t="s">
        <v>79</v>
      </c>
      <c r="C23" s="7" t="s">
        <v>96</v>
      </c>
      <c r="D23" s="19">
        <v>11235</v>
      </c>
      <c r="E23" s="9"/>
      <c r="F23" s="9"/>
      <c r="G23" s="9"/>
      <c r="H23" s="9">
        <v>475</v>
      </c>
      <c r="I23" s="9">
        <v>224.2</v>
      </c>
      <c r="J23" s="19">
        <f t="shared" si="0"/>
        <v>699.2</v>
      </c>
      <c r="K23" s="9"/>
      <c r="L23" s="9"/>
      <c r="M23" s="9"/>
      <c r="N23" s="19">
        <f t="shared" si="1"/>
        <v>11934.2</v>
      </c>
      <c r="O23" s="9">
        <v>2063.27</v>
      </c>
      <c r="P23" s="9">
        <v>570.88</v>
      </c>
      <c r="Q23" s="9"/>
      <c r="R23" s="9">
        <v>224.2</v>
      </c>
      <c r="S23" s="19">
        <f t="shared" si="4"/>
        <v>2858.35</v>
      </c>
      <c r="T23" s="19">
        <f t="shared" si="3"/>
        <v>9075.85</v>
      </c>
    </row>
    <row r="24" spans="1:20" x14ac:dyDescent="0.25">
      <c r="A24" s="6" t="s">
        <v>35</v>
      </c>
      <c r="B24" s="7" t="s">
        <v>80</v>
      </c>
      <c r="C24" s="7" t="s">
        <v>101</v>
      </c>
      <c r="D24" s="19">
        <v>3203.09</v>
      </c>
      <c r="E24" s="9"/>
      <c r="F24" s="9"/>
      <c r="G24" s="9">
        <v>128.91999999999999</v>
      </c>
      <c r="H24" s="9">
        <v>475</v>
      </c>
      <c r="I24" s="9"/>
      <c r="J24" s="19">
        <f t="shared" si="0"/>
        <v>475</v>
      </c>
      <c r="K24" s="9"/>
      <c r="L24" s="9"/>
      <c r="M24" s="9"/>
      <c r="N24" s="19">
        <f t="shared" si="1"/>
        <v>3807.01</v>
      </c>
      <c r="O24" s="9">
        <v>90.02</v>
      </c>
      <c r="P24" s="9">
        <v>366.52</v>
      </c>
      <c r="Q24" s="9"/>
      <c r="R24" s="9"/>
      <c r="S24" s="19">
        <f t="shared" si="4"/>
        <v>456.53999999999996</v>
      </c>
      <c r="T24" s="19">
        <f t="shared" si="3"/>
        <v>3350.4700000000003</v>
      </c>
    </row>
    <row r="25" spans="1:20" x14ac:dyDescent="0.25">
      <c r="A25" s="6" t="s">
        <v>36</v>
      </c>
      <c r="B25" s="7" t="s">
        <v>68</v>
      </c>
      <c r="C25" s="7" t="s">
        <v>92</v>
      </c>
      <c r="D25" s="19">
        <v>3203.09</v>
      </c>
      <c r="E25" s="9"/>
      <c r="F25" s="9"/>
      <c r="G25" s="9">
        <v>156.94999999999999</v>
      </c>
      <c r="H25" s="9">
        <v>475</v>
      </c>
      <c r="I25" s="9"/>
      <c r="J25" s="19">
        <f t="shared" si="0"/>
        <v>475</v>
      </c>
      <c r="K25" s="9"/>
      <c r="L25" s="9"/>
      <c r="M25" s="9"/>
      <c r="N25" s="19">
        <f t="shared" si="1"/>
        <v>3835.04</v>
      </c>
      <c r="O25" s="9">
        <v>93.77</v>
      </c>
      <c r="P25" s="9">
        <v>369.6</v>
      </c>
      <c r="Q25" s="9">
        <v>32.03</v>
      </c>
      <c r="R25" s="9"/>
      <c r="S25" s="19">
        <f t="shared" si="4"/>
        <v>495.4</v>
      </c>
      <c r="T25" s="19">
        <f t="shared" si="3"/>
        <v>3339.64</v>
      </c>
    </row>
    <row r="26" spans="1:20" x14ac:dyDescent="0.25">
      <c r="A26" s="6" t="s">
        <v>37</v>
      </c>
      <c r="B26" s="7" t="s">
        <v>77</v>
      </c>
      <c r="C26" s="7" t="s">
        <v>96</v>
      </c>
      <c r="D26" s="19">
        <f>7325.93+154.07</f>
        <v>7480</v>
      </c>
      <c r="E26" s="9"/>
      <c r="F26" s="9"/>
      <c r="G26" s="9"/>
      <c r="H26" s="9">
        <v>475</v>
      </c>
      <c r="I26" s="9"/>
      <c r="J26" s="19">
        <f t="shared" si="0"/>
        <v>475</v>
      </c>
      <c r="K26" s="9"/>
      <c r="L26" s="9"/>
      <c r="M26" s="9"/>
      <c r="N26" s="19">
        <f t="shared" si="1"/>
        <v>7955</v>
      </c>
      <c r="O26" s="9">
        <v>1030.6500000000001</v>
      </c>
      <c r="P26" s="9">
        <v>570.88</v>
      </c>
      <c r="Q26" s="9"/>
      <c r="R26" s="9"/>
      <c r="S26" s="19">
        <f t="shared" si="4"/>
        <v>1601.5300000000002</v>
      </c>
      <c r="T26" s="19">
        <f t="shared" si="3"/>
        <v>6353.4699999999993</v>
      </c>
    </row>
    <row r="27" spans="1:20" x14ac:dyDescent="0.25">
      <c r="A27" s="6" t="s">
        <v>128</v>
      </c>
      <c r="B27" s="17" t="s">
        <v>81</v>
      </c>
      <c r="C27" s="7" t="s">
        <v>98</v>
      </c>
      <c r="D27" s="19">
        <v>0</v>
      </c>
      <c r="E27" s="9"/>
      <c r="F27" s="9"/>
      <c r="G27" s="9"/>
      <c r="H27" s="9"/>
      <c r="I27" s="9"/>
      <c r="J27" s="19">
        <f t="shared" si="0"/>
        <v>0</v>
      </c>
      <c r="K27" s="9"/>
      <c r="L27" s="9"/>
      <c r="M27" s="9"/>
      <c r="N27" s="19">
        <f t="shared" si="1"/>
        <v>0</v>
      </c>
      <c r="O27" s="9"/>
      <c r="P27" s="9"/>
      <c r="Q27" s="9"/>
      <c r="R27" s="9"/>
      <c r="S27" s="19">
        <f t="shared" si="4"/>
        <v>0</v>
      </c>
      <c r="T27" s="19">
        <f t="shared" si="3"/>
        <v>0</v>
      </c>
    </row>
    <row r="28" spans="1:20" hidden="1" x14ac:dyDescent="0.25">
      <c r="A28" s="6" t="s">
        <v>39</v>
      </c>
      <c r="B28" s="7" t="s">
        <v>72</v>
      </c>
      <c r="C28" s="7" t="s">
        <v>106</v>
      </c>
      <c r="D28" s="19">
        <v>1191.76</v>
      </c>
      <c r="E28" s="9"/>
      <c r="F28" s="9"/>
      <c r="G28" s="9"/>
      <c r="H28" s="9">
        <v>475</v>
      </c>
      <c r="I28" s="9">
        <v>224.2</v>
      </c>
      <c r="J28" s="19">
        <f t="shared" si="0"/>
        <v>699.2</v>
      </c>
      <c r="K28" s="9"/>
      <c r="L28" s="9"/>
      <c r="M28" s="9"/>
      <c r="N28" s="19">
        <f t="shared" si="1"/>
        <v>1890.96</v>
      </c>
      <c r="O28" s="9"/>
      <c r="P28" s="9"/>
      <c r="Q28" s="9"/>
      <c r="R28" s="9"/>
      <c r="S28" s="19">
        <f t="shared" si="4"/>
        <v>0</v>
      </c>
      <c r="T28" s="19">
        <f t="shared" si="3"/>
        <v>1890.96</v>
      </c>
    </row>
    <row r="29" spans="1:20" hidden="1" x14ac:dyDescent="0.25">
      <c r="A29" s="6" t="s">
        <v>104</v>
      </c>
      <c r="B29" s="7" t="s">
        <v>72</v>
      </c>
      <c r="C29" s="7" t="s">
        <v>102</v>
      </c>
      <c r="D29" s="19">
        <v>1191.76</v>
      </c>
      <c r="E29" s="9"/>
      <c r="F29" s="9"/>
      <c r="G29" s="9"/>
      <c r="H29" s="9">
        <v>475</v>
      </c>
      <c r="I29" s="9">
        <v>134.9</v>
      </c>
      <c r="J29" s="19">
        <f t="shared" si="0"/>
        <v>609.9</v>
      </c>
      <c r="K29" s="9"/>
      <c r="L29" s="9"/>
      <c r="M29" s="9"/>
      <c r="N29" s="19">
        <f t="shared" si="1"/>
        <v>1801.6599999999999</v>
      </c>
      <c r="O29" s="9"/>
      <c r="P29" s="9"/>
      <c r="Q29" s="9"/>
      <c r="R29" s="9"/>
      <c r="S29" s="19">
        <f t="shared" si="4"/>
        <v>0</v>
      </c>
      <c r="T29" s="19">
        <f t="shared" si="3"/>
        <v>1801.6599999999999</v>
      </c>
    </row>
    <row r="30" spans="1:20" x14ac:dyDescent="0.25">
      <c r="A30" s="13" t="s">
        <v>40</v>
      </c>
      <c r="B30" s="15" t="s">
        <v>69</v>
      </c>
      <c r="C30" s="7" t="s">
        <v>100</v>
      </c>
      <c r="D30" s="19">
        <v>3203.09</v>
      </c>
      <c r="E30" s="9"/>
      <c r="F30" s="9"/>
      <c r="G30" s="9"/>
      <c r="H30" s="9">
        <v>475</v>
      </c>
      <c r="I30" s="9">
        <v>224.2</v>
      </c>
      <c r="J30" s="19">
        <f t="shared" si="0"/>
        <v>699.2</v>
      </c>
      <c r="K30" s="9"/>
      <c r="L30" s="9"/>
      <c r="M30" s="9"/>
      <c r="N30" s="19">
        <f t="shared" si="1"/>
        <v>3902.29</v>
      </c>
      <c r="O30" s="9">
        <v>72.81</v>
      </c>
      <c r="P30" s="9">
        <v>352.34</v>
      </c>
      <c r="Q30" s="9"/>
      <c r="R30" s="9">
        <v>121.72</v>
      </c>
      <c r="S30" s="19">
        <f t="shared" si="4"/>
        <v>546.87</v>
      </c>
      <c r="T30" s="19">
        <f t="shared" si="3"/>
        <v>3355.42</v>
      </c>
    </row>
    <row r="31" spans="1:20" x14ac:dyDescent="0.25">
      <c r="A31" s="6" t="s">
        <v>41</v>
      </c>
      <c r="B31" s="7" t="s">
        <v>77</v>
      </c>
      <c r="C31" s="7" t="s">
        <v>96</v>
      </c>
      <c r="D31" s="19">
        <f>7325.93+154.07</f>
        <v>7480</v>
      </c>
      <c r="E31" s="9"/>
      <c r="F31" s="9"/>
      <c r="G31" s="9"/>
      <c r="H31" s="9">
        <v>475</v>
      </c>
      <c r="I31" s="9"/>
      <c r="J31" s="19">
        <f t="shared" si="0"/>
        <v>475</v>
      </c>
      <c r="K31" s="9"/>
      <c r="L31" s="9"/>
      <c r="M31" s="9"/>
      <c r="N31" s="19">
        <f t="shared" si="1"/>
        <v>7955</v>
      </c>
      <c r="O31" s="9">
        <v>1030.6500000000001</v>
      </c>
      <c r="P31" s="9">
        <v>570.88</v>
      </c>
      <c r="Q31" s="9"/>
      <c r="R31" s="9"/>
      <c r="S31" s="19">
        <f t="shared" si="4"/>
        <v>1601.5300000000002</v>
      </c>
      <c r="T31" s="19">
        <f t="shared" si="3"/>
        <v>6353.4699999999993</v>
      </c>
    </row>
    <row r="32" spans="1:20" x14ac:dyDescent="0.25">
      <c r="A32" s="6" t="s">
        <v>42</v>
      </c>
      <c r="B32" s="7" t="s">
        <v>69</v>
      </c>
      <c r="C32" s="7" t="s">
        <v>100</v>
      </c>
      <c r="D32" s="19">
        <v>3203.09</v>
      </c>
      <c r="E32" s="9"/>
      <c r="F32" s="9"/>
      <c r="G32" s="9"/>
      <c r="H32" s="9">
        <v>475</v>
      </c>
      <c r="I32" s="9">
        <v>224.2</v>
      </c>
      <c r="J32" s="19">
        <f t="shared" si="0"/>
        <v>699.2</v>
      </c>
      <c r="K32" s="9"/>
      <c r="L32" s="9"/>
      <c r="M32" s="9"/>
      <c r="N32" s="19">
        <f t="shared" si="1"/>
        <v>3902.29</v>
      </c>
      <c r="O32" s="9">
        <v>72.81</v>
      </c>
      <c r="P32" s="9">
        <v>352.34</v>
      </c>
      <c r="Q32" s="9">
        <v>32.03</v>
      </c>
      <c r="R32" s="9">
        <v>121.72</v>
      </c>
      <c r="S32" s="19">
        <f t="shared" si="4"/>
        <v>578.9</v>
      </c>
      <c r="T32" s="19">
        <f t="shared" si="3"/>
        <v>3323.39</v>
      </c>
    </row>
    <row r="33" spans="1:20" x14ac:dyDescent="0.25">
      <c r="A33" s="6" t="s">
        <v>43</v>
      </c>
      <c r="B33" s="7" t="s">
        <v>76</v>
      </c>
      <c r="C33" s="7" t="s">
        <v>97</v>
      </c>
      <c r="D33" s="19">
        <v>7480</v>
      </c>
      <c r="E33" s="12"/>
      <c r="F33" s="9"/>
      <c r="G33" s="9">
        <v>65.45</v>
      </c>
      <c r="H33" s="9">
        <v>475</v>
      </c>
      <c r="I33" s="9">
        <v>140.6</v>
      </c>
      <c r="J33" s="19">
        <f t="shared" si="0"/>
        <v>615.6</v>
      </c>
      <c r="K33" s="9"/>
      <c r="L33" s="9"/>
      <c r="M33" s="9"/>
      <c r="N33" s="19">
        <f t="shared" si="1"/>
        <v>8161.05</v>
      </c>
      <c r="O33" s="9">
        <v>1048.6500000000001</v>
      </c>
      <c r="P33" s="18">
        <v>570.88</v>
      </c>
      <c r="Q33" s="9"/>
      <c r="R33" s="9">
        <v>140.6</v>
      </c>
      <c r="S33" s="19">
        <f t="shared" si="4"/>
        <v>1760.13</v>
      </c>
      <c r="T33" s="19">
        <f t="shared" si="3"/>
        <v>6400.92</v>
      </c>
    </row>
    <row r="34" spans="1:20" x14ac:dyDescent="0.25">
      <c r="A34" s="7" t="s">
        <v>44</v>
      </c>
      <c r="B34" s="7" t="s">
        <v>69</v>
      </c>
      <c r="C34" s="7" t="s">
        <v>100</v>
      </c>
      <c r="D34" s="19">
        <v>3203.09</v>
      </c>
      <c r="E34" s="9"/>
      <c r="F34" s="9"/>
      <c r="G34" s="9"/>
      <c r="H34" s="9">
        <v>475</v>
      </c>
      <c r="I34" s="9">
        <v>359.1</v>
      </c>
      <c r="J34" s="19">
        <f t="shared" si="0"/>
        <v>834.1</v>
      </c>
      <c r="K34" s="9"/>
      <c r="L34" s="9"/>
      <c r="M34" s="9"/>
      <c r="N34" s="19">
        <f t="shared" si="1"/>
        <v>4037.19</v>
      </c>
      <c r="O34" s="9">
        <v>72.81</v>
      </c>
      <c r="P34" s="9">
        <v>352.34</v>
      </c>
      <c r="Q34" s="9">
        <v>32.03</v>
      </c>
      <c r="R34" s="9">
        <v>121.72</v>
      </c>
      <c r="S34" s="19">
        <f t="shared" si="4"/>
        <v>578.9</v>
      </c>
      <c r="T34" s="19">
        <f t="shared" si="3"/>
        <v>3458.29</v>
      </c>
    </row>
    <row r="35" spans="1:20" x14ac:dyDescent="0.25">
      <c r="A35" s="7" t="s">
        <v>45</v>
      </c>
      <c r="B35" s="7" t="s">
        <v>82</v>
      </c>
      <c r="C35" s="7" t="s">
        <v>97</v>
      </c>
      <c r="D35" s="19">
        <f>49.93+9362.5</f>
        <v>9412.43</v>
      </c>
      <c r="E35" s="9">
        <v>1872.5</v>
      </c>
      <c r="F35" s="9"/>
      <c r="G35" s="9"/>
      <c r="H35" s="9">
        <v>400</v>
      </c>
      <c r="I35" s="9">
        <v>777.12</v>
      </c>
      <c r="J35" s="19">
        <f t="shared" si="0"/>
        <v>1177.1199999999999</v>
      </c>
      <c r="K35" s="9">
        <v>624.16999999999996</v>
      </c>
      <c r="L35" s="9"/>
      <c r="M35" s="9"/>
      <c r="N35" s="19">
        <f t="shared" si="1"/>
        <v>13086.22</v>
      </c>
      <c r="O35" s="9">
        <f>1610.13+371.94</f>
        <v>1982.0700000000002</v>
      </c>
      <c r="P35" s="19">
        <f>(346.18+274.63)-49.93</f>
        <v>570.88</v>
      </c>
      <c r="Q35" s="9"/>
      <c r="R35" s="9">
        <v>381.99</v>
      </c>
      <c r="S35" s="19">
        <f t="shared" si="4"/>
        <v>2934.9400000000005</v>
      </c>
      <c r="T35" s="19">
        <f t="shared" si="3"/>
        <v>10151.279999999999</v>
      </c>
    </row>
    <row r="36" spans="1:20" x14ac:dyDescent="0.25">
      <c r="A36" s="7" t="s">
        <v>46</v>
      </c>
      <c r="B36" s="7" t="s">
        <v>83</v>
      </c>
      <c r="C36" s="7" t="s">
        <v>94</v>
      </c>
      <c r="D36" s="19">
        <v>3203.09</v>
      </c>
      <c r="E36" s="9"/>
      <c r="F36" s="9"/>
      <c r="G36" s="9">
        <v>128.91999999999999</v>
      </c>
      <c r="H36" s="9">
        <v>475</v>
      </c>
      <c r="I36" s="9">
        <v>224.2</v>
      </c>
      <c r="J36" s="19">
        <f t="shared" si="0"/>
        <v>699.2</v>
      </c>
      <c r="K36" s="9"/>
      <c r="L36" s="9"/>
      <c r="M36" s="9"/>
      <c r="N36" s="19">
        <f t="shared" si="1"/>
        <v>4031.21</v>
      </c>
      <c r="O36" s="9">
        <v>90.02</v>
      </c>
      <c r="P36" s="9">
        <v>366.52</v>
      </c>
      <c r="Q36" s="9">
        <v>32.03</v>
      </c>
      <c r="R36" s="9">
        <v>121.72</v>
      </c>
      <c r="S36" s="19">
        <f t="shared" si="4"/>
        <v>610.29</v>
      </c>
      <c r="T36" s="19">
        <f t="shared" si="3"/>
        <v>3420.92</v>
      </c>
    </row>
    <row r="37" spans="1:20" x14ac:dyDescent="0.25">
      <c r="A37" s="7" t="s">
        <v>47</v>
      </c>
      <c r="B37" s="7" t="s">
        <v>84</v>
      </c>
      <c r="C37" s="7" t="s">
        <v>95</v>
      </c>
      <c r="D37" s="19">
        <v>11235</v>
      </c>
      <c r="E37" s="9"/>
      <c r="F37" s="9"/>
      <c r="G37" s="9"/>
      <c r="H37" s="9">
        <v>475</v>
      </c>
      <c r="I37" s="9">
        <v>129.19999999999999</v>
      </c>
      <c r="J37" s="19">
        <f t="shared" si="0"/>
        <v>604.20000000000005</v>
      </c>
      <c r="K37" s="9"/>
      <c r="L37" s="9"/>
      <c r="M37" s="9"/>
      <c r="N37" s="19">
        <f t="shared" si="1"/>
        <v>11839.2</v>
      </c>
      <c r="O37" s="9">
        <v>2063.27</v>
      </c>
      <c r="P37" s="9">
        <v>570.88</v>
      </c>
      <c r="Q37" s="9"/>
      <c r="R37" s="9">
        <v>129.19999999999999</v>
      </c>
      <c r="S37" s="19">
        <f t="shared" si="4"/>
        <v>2763.35</v>
      </c>
      <c r="T37" s="19">
        <f t="shared" si="3"/>
        <v>9075.85</v>
      </c>
    </row>
    <row r="38" spans="1:20" x14ac:dyDescent="0.25">
      <c r="A38" s="7" t="s">
        <v>48</v>
      </c>
      <c r="B38" s="7" t="s">
        <v>85</v>
      </c>
      <c r="C38" s="7" t="s">
        <v>102</v>
      </c>
      <c r="D38" s="19">
        <v>8554.7000000000007</v>
      </c>
      <c r="E38" s="9"/>
      <c r="F38" s="9"/>
      <c r="G38" s="9"/>
      <c r="H38" s="9">
        <v>275</v>
      </c>
      <c r="I38" s="9"/>
      <c r="J38" s="19">
        <f t="shared" si="0"/>
        <v>275</v>
      </c>
      <c r="K38" s="9"/>
      <c r="L38" s="9"/>
      <c r="M38" s="9"/>
      <c r="N38" s="19">
        <f t="shared" si="1"/>
        <v>8829.7000000000007</v>
      </c>
      <c r="O38" s="9">
        <v>1326.19</v>
      </c>
      <c r="P38" s="9">
        <v>570.88</v>
      </c>
      <c r="Q38" s="9"/>
      <c r="R38" s="9"/>
      <c r="S38" s="19">
        <f t="shared" si="4"/>
        <v>1897.0700000000002</v>
      </c>
      <c r="T38" s="19">
        <f t="shared" si="3"/>
        <v>6932.630000000001</v>
      </c>
    </row>
    <row r="39" spans="1:20" x14ac:dyDescent="0.25">
      <c r="A39" s="7" t="s">
        <v>49</v>
      </c>
      <c r="B39" s="7" t="s">
        <v>86</v>
      </c>
      <c r="C39" s="7" t="s">
        <v>102</v>
      </c>
      <c r="D39" s="19">
        <v>6183.65</v>
      </c>
      <c r="E39" s="9"/>
      <c r="F39" s="9"/>
      <c r="G39" s="9">
        <v>351.69</v>
      </c>
      <c r="H39" s="9">
        <v>475</v>
      </c>
      <c r="I39" s="9">
        <v>140.6</v>
      </c>
      <c r="J39" s="19">
        <f t="shared" si="0"/>
        <v>615.6</v>
      </c>
      <c r="K39" s="9"/>
      <c r="L39" s="9"/>
      <c r="M39" s="9"/>
      <c r="N39" s="19">
        <f t="shared" si="1"/>
        <v>7150.94</v>
      </c>
      <c r="O39" s="9">
        <v>770.87</v>
      </c>
      <c r="P39" s="9">
        <v>570.88</v>
      </c>
      <c r="Q39" s="9"/>
      <c r="R39" s="9">
        <v>140.6</v>
      </c>
      <c r="S39" s="19">
        <f t="shared" si="4"/>
        <v>1482.35</v>
      </c>
      <c r="T39" s="19">
        <f t="shared" si="3"/>
        <v>5668.59</v>
      </c>
    </row>
    <row r="40" spans="1:20" x14ac:dyDescent="0.25">
      <c r="A40" s="7" t="s">
        <v>50</v>
      </c>
      <c r="B40" s="7" t="s">
        <v>80</v>
      </c>
      <c r="C40" s="7" t="s">
        <v>101</v>
      </c>
      <c r="D40" s="19">
        <v>3203.09</v>
      </c>
      <c r="E40" s="9"/>
      <c r="F40" s="9"/>
      <c r="G40" s="9">
        <v>59.79</v>
      </c>
      <c r="H40" s="9">
        <v>475</v>
      </c>
      <c r="I40" s="9">
        <v>188.1</v>
      </c>
      <c r="J40" s="19">
        <f t="shared" si="0"/>
        <v>663.1</v>
      </c>
      <c r="K40" s="9"/>
      <c r="L40" s="9"/>
      <c r="M40" s="9"/>
      <c r="N40" s="19">
        <f t="shared" si="1"/>
        <v>3925.98</v>
      </c>
      <c r="O40" s="9">
        <v>80.790000000000006</v>
      </c>
      <c r="P40" s="9">
        <v>358.92</v>
      </c>
      <c r="Q40" s="9">
        <v>32.03</v>
      </c>
      <c r="R40" s="9">
        <v>121.72</v>
      </c>
      <c r="S40" s="19">
        <f t="shared" si="4"/>
        <v>593.46</v>
      </c>
      <c r="T40" s="19">
        <f t="shared" si="3"/>
        <v>3332.52</v>
      </c>
    </row>
    <row r="41" spans="1:20" x14ac:dyDescent="0.25">
      <c r="A41" s="6" t="s">
        <v>51</v>
      </c>
      <c r="B41" s="7" t="s">
        <v>68</v>
      </c>
      <c r="C41" s="7" t="s">
        <v>92</v>
      </c>
      <c r="D41" s="19">
        <v>3203.09</v>
      </c>
      <c r="E41" s="9"/>
      <c r="F41" s="9"/>
      <c r="G41" s="9"/>
      <c r="H41" s="9">
        <v>475</v>
      </c>
      <c r="I41" s="9">
        <v>224.2</v>
      </c>
      <c r="J41" s="19">
        <f t="shared" si="0"/>
        <v>699.2</v>
      </c>
      <c r="K41" s="12"/>
      <c r="L41" s="9"/>
      <c r="M41" s="9"/>
      <c r="N41" s="19">
        <f t="shared" si="1"/>
        <v>3902.29</v>
      </c>
      <c r="O41" s="9">
        <v>72.81</v>
      </c>
      <c r="P41" s="9">
        <v>352.34</v>
      </c>
      <c r="Q41" s="9">
        <v>32.03</v>
      </c>
      <c r="R41" s="9">
        <v>121.72</v>
      </c>
      <c r="S41" s="19">
        <f t="shared" si="4"/>
        <v>578.9</v>
      </c>
      <c r="T41" s="19">
        <f t="shared" si="3"/>
        <v>3323.39</v>
      </c>
    </row>
    <row r="42" spans="1:20" hidden="1" x14ac:dyDescent="0.25">
      <c r="A42" s="6" t="s">
        <v>52</v>
      </c>
      <c r="B42" s="7" t="s">
        <v>72</v>
      </c>
      <c r="C42" s="7" t="s">
        <v>98</v>
      </c>
      <c r="D42" s="19">
        <v>1191.76</v>
      </c>
      <c r="E42" s="9"/>
      <c r="F42" s="9"/>
      <c r="G42" s="9"/>
      <c r="H42" s="9">
        <v>300</v>
      </c>
      <c r="I42" s="9">
        <v>230.4</v>
      </c>
      <c r="J42" s="19">
        <f t="shared" si="0"/>
        <v>530.4</v>
      </c>
      <c r="K42" s="9"/>
      <c r="L42" s="9"/>
      <c r="M42" s="9"/>
      <c r="N42" s="19">
        <f t="shared" si="1"/>
        <v>1722.1599999999999</v>
      </c>
      <c r="O42" s="9"/>
      <c r="P42" s="9"/>
      <c r="Q42" s="9"/>
      <c r="R42" s="9"/>
      <c r="S42" s="19">
        <f t="shared" si="4"/>
        <v>0</v>
      </c>
      <c r="T42" s="19">
        <f t="shared" si="3"/>
        <v>1722.1599999999999</v>
      </c>
    </row>
    <row r="43" spans="1:20" x14ac:dyDescent="0.25">
      <c r="A43" s="7" t="s">
        <v>53</v>
      </c>
      <c r="B43" s="7" t="s">
        <v>68</v>
      </c>
      <c r="C43" s="7" t="s">
        <v>92</v>
      </c>
      <c r="D43" s="19">
        <v>3203.09</v>
      </c>
      <c r="E43" s="9"/>
      <c r="F43" s="9"/>
      <c r="G43" s="9">
        <v>283.07</v>
      </c>
      <c r="H43" s="9">
        <v>475</v>
      </c>
      <c r="I43" s="9"/>
      <c r="J43" s="19">
        <f t="shared" si="0"/>
        <v>475</v>
      </c>
      <c r="K43" s="9"/>
      <c r="L43" s="9"/>
      <c r="M43" s="9"/>
      <c r="N43" s="19">
        <f t="shared" si="1"/>
        <v>3961.1600000000003</v>
      </c>
      <c r="O43" s="9">
        <v>110.6</v>
      </c>
      <c r="P43" s="9">
        <v>383.48</v>
      </c>
      <c r="Q43" s="9">
        <v>32.03</v>
      </c>
      <c r="R43" s="9"/>
      <c r="S43" s="19">
        <f t="shared" si="4"/>
        <v>526.11</v>
      </c>
      <c r="T43" s="19">
        <f t="shared" si="3"/>
        <v>3435.05</v>
      </c>
    </row>
    <row r="44" spans="1:20" x14ac:dyDescent="0.25">
      <c r="A44" s="6" t="s">
        <v>55</v>
      </c>
      <c r="B44" s="7" t="s">
        <v>76</v>
      </c>
      <c r="C44" s="7" t="s">
        <v>97</v>
      </c>
      <c r="D44" s="19">
        <f>3418.77+154.07</f>
        <v>3572.84</v>
      </c>
      <c r="E44" s="9">
        <v>3907.16</v>
      </c>
      <c r="F44" s="9"/>
      <c r="G44" s="9">
        <v>234.47</v>
      </c>
      <c r="H44" s="9">
        <v>175</v>
      </c>
      <c r="I44" s="9"/>
      <c r="J44" s="19">
        <f t="shared" si="0"/>
        <v>175</v>
      </c>
      <c r="K44" s="9">
        <v>1302.3900000000001</v>
      </c>
      <c r="L44" s="9"/>
      <c r="M44" s="9"/>
      <c r="N44" s="19">
        <f t="shared" si="1"/>
        <v>9191.86</v>
      </c>
      <c r="O44" s="9">
        <f>207.62+422.19</f>
        <v>629.80999999999995</v>
      </c>
      <c r="P44" s="9">
        <f>57.87+513.01</f>
        <v>570.88</v>
      </c>
      <c r="Q44" s="9"/>
      <c r="R44" s="9"/>
      <c r="S44" s="19">
        <f t="shared" si="4"/>
        <v>1200.69</v>
      </c>
      <c r="T44" s="19">
        <f t="shared" si="3"/>
        <v>7991.17</v>
      </c>
    </row>
    <row r="45" spans="1:20" hidden="1" x14ac:dyDescent="0.25">
      <c r="A45" s="6" t="s">
        <v>56</v>
      </c>
      <c r="B45" s="7" t="s">
        <v>72</v>
      </c>
      <c r="C45" s="7" t="s">
        <v>94</v>
      </c>
      <c r="D45" s="19">
        <v>1191.76</v>
      </c>
      <c r="E45" s="9"/>
      <c r="F45" s="9"/>
      <c r="G45" s="9"/>
      <c r="H45" s="9">
        <v>475</v>
      </c>
      <c r="I45" s="9">
        <v>224.2</v>
      </c>
      <c r="J45" s="19">
        <f t="shared" si="0"/>
        <v>699.2</v>
      </c>
      <c r="K45" s="9"/>
      <c r="L45" s="9"/>
      <c r="M45" s="9"/>
      <c r="N45" s="19">
        <f t="shared" si="1"/>
        <v>1890.96</v>
      </c>
      <c r="O45" s="9"/>
      <c r="P45" s="9"/>
      <c r="Q45" s="9"/>
      <c r="R45" s="9"/>
      <c r="S45" s="19">
        <f t="shared" si="4"/>
        <v>0</v>
      </c>
      <c r="T45" s="19">
        <f t="shared" si="3"/>
        <v>1890.96</v>
      </c>
    </row>
    <row r="46" spans="1:20" x14ac:dyDescent="0.25">
      <c r="A46" s="6" t="s">
        <v>57</v>
      </c>
      <c r="B46" s="7" t="s">
        <v>76</v>
      </c>
      <c r="C46" s="7" t="s">
        <v>96</v>
      </c>
      <c r="D46" s="19">
        <f>7325.93+154.07</f>
        <v>7480</v>
      </c>
      <c r="E46" s="9"/>
      <c r="F46" s="9"/>
      <c r="G46" s="9">
        <v>529.35</v>
      </c>
      <c r="H46" s="9">
        <v>475</v>
      </c>
      <c r="I46" s="9"/>
      <c r="J46" s="19">
        <f t="shared" si="0"/>
        <v>475</v>
      </c>
      <c r="K46" s="9"/>
      <c r="L46" s="9"/>
      <c r="M46" s="9"/>
      <c r="N46" s="19">
        <f t="shared" si="1"/>
        <v>8484.35</v>
      </c>
      <c r="O46" s="9">
        <v>1176.22</v>
      </c>
      <c r="P46" s="9">
        <v>570.88</v>
      </c>
      <c r="Q46" s="9"/>
      <c r="R46" s="9"/>
      <c r="S46" s="19">
        <f t="shared" si="4"/>
        <v>1747.1</v>
      </c>
      <c r="T46" s="19">
        <f t="shared" si="3"/>
        <v>6737.25</v>
      </c>
    </row>
    <row r="47" spans="1:20" x14ac:dyDescent="0.25">
      <c r="A47" s="6" t="s">
        <v>58</v>
      </c>
      <c r="B47" s="7" t="s">
        <v>68</v>
      </c>
      <c r="C47" s="7" t="s">
        <v>92</v>
      </c>
      <c r="D47" s="19">
        <v>3203.09</v>
      </c>
      <c r="E47" s="9"/>
      <c r="F47" s="9"/>
      <c r="G47" s="9"/>
      <c r="H47" s="9">
        <v>475</v>
      </c>
      <c r="I47" s="9">
        <v>224.2</v>
      </c>
      <c r="J47" s="19">
        <f t="shared" si="0"/>
        <v>699.2</v>
      </c>
      <c r="K47" s="9"/>
      <c r="L47" s="9"/>
      <c r="M47" s="9"/>
      <c r="N47" s="25">
        <f t="shared" si="1"/>
        <v>3902.29</v>
      </c>
      <c r="O47" s="9">
        <v>42.57</v>
      </c>
      <c r="P47" s="9">
        <v>352.34</v>
      </c>
      <c r="Q47" s="9">
        <v>32.03</v>
      </c>
      <c r="R47" s="9">
        <v>121.72</v>
      </c>
      <c r="S47" s="19">
        <f t="shared" si="4"/>
        <v>548.66</v>
      </c>
      <c r="T47" s="19">
        <f t="shared" si="3"/>
        <v>3353.63</v>
      </c>
    </row>
    <row r="48" spans="1:20" x14ac:dyDescent="0.25">
      <c r="A48" s="6" t="s">
        <v>59</v>
      </c>
      <c r="B48" s="7" t="s">
        <v>76</v>
      </c>
      <c r="C48" s="7" t="s">
        <v>96</v>
      </c>
      <c r="D48" s="19">
        <f>7325.93+154.07</f>
        <v>7480</v>
      </c>
      <c r="E48" s="9"/>
      <c r="F48" s="9"/>
      <c r="G48" s="9">
        <v>229.08</v>
      </c>
      <c r="H48" s="9">
        <v>475</v>
      </c>
      <c r="I48" s="9">
        <v>140.6</v>
      </c>
      <c r="J48" s="19">
        <f t="shared" si="0"/>
        <v>615.6</v>
      </c>
      <c r="K48" s="9"/>
      <c r="L48" s="9"/>
      <c r="M48" s="9"/>
      <c r="N48" s="25">
        <f t="shared" si="1"/>
        <v>8324.68</v>
      </c>
      <c r="O48" s="9">
        <v>1093.6500000000001</v>
      </c>
      <c r="P48" s="9">
        <v>570.88</v>
      </c>
      <c r="Q48" s="9"/>
      <c r="R48" s="9">
        <v>140.6</v>
      </c>
      <c r="S48" s="19">
        <f t="shared" si="4"/>
        <v>1805.13</v>
      </c>
      <c r="T48" s="19">
        <f t="shared" si="3"/>
        <v>6519.55</v>
      </c>
    </row>
    <row r="49" spans="1:20" x14ac:dyDescent="0.25">
      <c r="A49" s="6" t="s">
        <v>60</v>
      </c>
      <c r="B49" s="7" t="s">
        <v>87</v>
      </c>
      <c r="C49" s="7" t="s">
        <v>94</v>
      </c>
      <c r="D49" s="19">
        <v>6183.65</v>
      </c>
      <c r="E49" s="9"/>
      <c r="F49" s="9"/>
      <c r="G49" s="9">
        <v>27.06</v>
      </c>
      <c r="H49" s="9">
        <v>475</v>
      </c>
      <c r="I49" s="9">
        <v>129.19999999999999</v>
      </c>
      <c r="J49" s="19">
        <f t="shared" si="0"/>
        <v>604.20000000000005</v>
      </c>
      <c r="K49" s="9"/>
      <c r="L49" s="9"/>
      <c r="M49" s="9"/>
      <c r="N49" s="25">
        <f t="shared" si="1"/>
        <v>6814.91</v>
      </c>
      <c r="O49" s="9">
        <v>681.59</v>
      </c>
      <c r="P49" s="9">
        <v>570.88</v>
      </c>
      <c r="Q49" s="9"/>
      <c r="R49" s="9">
        <v>129.19999999999999</v>
      </c>
      <c r="S49" s="19">
        <f t="shared" si="4"/>
        <v>1381.67</v>
      </c>
      <c r="T49" s="19">
        <f t="shared" si="3"/>
        <v>5433.24</v>
      </c>
    </row>
    <row r="50" spans="1:20" x14ac:dyDescent="0.25">
      <c r="A50" s="6" t="s">
        <v>61</v>
      </c>
      <c r="B50" s="7" t="s">
        <v>88</v>
      </c>
      <c r="C50" s="7" t="s">
        <v>93</v>
      </c>
      <c r="D50" s="19">
        <v>2851.57</v>
      </c>
      <c r="E50" s="9">
        <v>5703.13</v>
      </c>
      <c r="F50" s="9"/>
      <c r="G50" s="9"/>
      <c r="H50" s="9">
        <v>125</v>
      </c>
      <c r="I50" s="9">
        <v>37</v>
      </c>
      <c r="J50" s="19">
        <f t="shared" si="0"/>
        <v>162</v>
      </c>
      <c r="K50" s="9">
        <f>1901.04</f>
        <v>1901.04</v>
      </c>
      <c r="L50" s="9"/>
      <c r="M50" s="9"/>
      <c r="N50" s="25">
        <f t="shared" si="1"/>
        <v>10617.740000000002</v>
      </c>
      <c r="O50" s="9">
        <f>66.73+1080.71</f>
        <v>1147.44</v>
      </c>
      <c r="P50" s="9">
        <f>57.87+513.01</f>
        <v>570.88</v>
      </c>
      <c r="Q50" s="9"/>
      <c r="R50" s="9">
        <v>37</v>
      </c>
      <c r="S50" s="19">
        <f t="shared" si="4"/>
        <v>1755.3200000000002</v>
      </c>
      <c r="T50" s="19">
        <f t="shared" si="3"/>
        <v>8862.4200000000019</v>
      </c>
    </row>
    <row r="51" spans="1:20" x14ac:dyDescent="0.25">
      <c r="A51" s="7" t="s">
        <v>62</v>
      </c>
      <c r="B51" s="7" t="s">
        <v>83</v>
      </c>
      <c r="C51" s="7" t="s">
        <v>94</v>
      </c>
      <c r="D51" s="19">
        <v>2028.62</v>
      </c>
      <c r="E51" s="9">
        <v>1174.46</v>
      </c>
      <c r="F51" s="9"/>
      <c r="G51" s="9"/>
      <c r="H51" s="9">
        <v>300</v>
      </c>
      <c r="I51" s="9">
        <f>126.7+94</f>
        <v>220.7</v>
      </c>
      <c r="J51" s="19">
        <f t="shared" si="0"/>
        <v>520.70000000000005</v>
      </c>
      <c r="K51" s="9">
        <v>391.49</v>
      </c>
      <c r="L51" s="9"/>
      <c r="M51" s="9"/>
      <c r="N51" s="25">
        <f t="shared" si="1"/>
        <v>4115.2699999999995</v>
      </c>
      <c r="O51" s="9">
        <v>13.19</v>
      </c>
      <c r="P51" s="9">
        <f>254.46+140.94</f>
        <v>395.4</v>
      </c>
      <c r="Q51" s="9">
        <v>40.58</v>
      </c>
      <c r="R51" s="9">
        <v>76.87</v>
      </c>
      <c r="S51" s="19">
        <f t="shared" si="4"/>
        <v>526.04</v>
      </c>
      <c r="T51" s="19">
        <f t="shared" si="3"/>
        <v>3589.2299999999996</v>
      </c>
    </row>
    <row r="52" spans="1:20" x14ac:dyDescent="0.25">
      <c r="A52" s="7" t="s">
        <v>63</v>
      </c>
      <c r="B52" s="7" t="s">
        <v>89</v>
      </c>
      <c r="C52" s="7" t="s">
        <v>98</v>
      </c>
      <c r="D52" s="19">
        <v>6183.65</v>
      </c>
      <c r="E52" s="9"/>
      <c r="F52" s="9"/>
      <c r="G52" s="9"/>
      <c r="H52" s="9">
        <v>475</v>
      </c>
      <c r="I52" s="9">
        <v>140.6</v>
      </c>
      <c r="J52" s="19">
        <f t="shared" si="0"/>
        <v>615.6</v>
      </c>
      <c r="K52" s="9"/>
      <c r="L52" s="9"/>
      <c r="M52" s="9"/>
      <c r="N52" s="25">
        <f t="shared" si="1"/>
        <v>6799.25</v>
      </c>
      <c r="O52" s="9">
        <v>674.15</v>
      </c>
      <c r="P52" s="9">
        <v>570.88</v>
      </c>
      <c r="Q52" s="9"/>
      <c r="R52" s="9">
        <v>140.6</v>
      </c>
      <c r="S52" s="19">
        <f t="shared" si="4"/>
        <v>1385.6299999999999</v>
      </c>
      <c r="T52" s="19">
        <f t="shared" si="3"/>
        <v>5413.62</v>
      </c>
    </row>
    <row r="53" spans="1:20" x14ac:dyDescent="0.25">
      <c r="A53" s="6" t="s">
        <v>64</v>
      </c>
      <c r="B53" s="7" t="s">
        <v>68</v>
      </c>
      <c r="C53" s="7" t="s">
        <v>96</v>
      </c>
      <c r="D53" s="19">
        <v>3203.9</v>
      </c>
      <c r="E53" s="9"/>
      <c r="F53" s="9"/>
      <c r="G53" s="9"/>
      <c r="H53" s="9">
        <v>475</v>
      </c>
      <c r="I53" s="9"/>
      <c r="J53" s="19">
        <f t="shared" si="0"/>
        <v>475</v>
      </c>
      <c r="K53" s="9"/>
      <c r="L53" s="9"/>
      <c r="M53" s="9"/>
      <c r="N53" s="25">
        <f t="shared" si="1"/>
        <v>3678.9</v>
      </c>
      <c r="O53" s="9">
        <v>72.92</v>
      </c>
      <c r="P53" s="9">
        <v>352.43</v>
      </c>
      <c r="Q53" s="9">
        <v>106.8</v>
      </c>
      <c r="R53" s="9">
        <v>121.72</v>
      </c>
      <c r="S53" s="19">
        <f t="shared" si="4"/>
        <v>653.87</v>
      </c>
      <c r="T53" s="19">
        <f t="shared" si="3"/>
        <v>3025.03</v>
      </c>
    </row>
    <row r="54" spans="1:20" x14ac:dyDescent="0.25">
      <c r="A54" s="7" t="s">
        <v>65</v>
      </c>
      <c r="B54" s="7" t="s">
        <v>90</v>
      </c>
      <c r="C54" s="7" t="s">
        <v>100</v>
      </c>
      <c r="D54" s="19">
        <v>6183.65</v>
      </c>
      <c r="E54" s="9"/>
      <c r="F54" s="9"/>
      <c r="G54" s="9"/>
      <c r="H54" s="9">
        <v>475</v>
      </c>
      <c r="I54" s="9"/>
      <c r="J54" s="19">
        <f t="shared" si="0"/>
        <v>475</v>
      </c>
      <c r="K54" s="9"/>
      <c r="L54" s="9"/>
      <c r="M54" s="9"/>
      <c r="N54" s="25">
        <f t="shared" si="1"/>
        <v>6658.65</v>
      </c>
      <c r="O54" s="9">
        <v>674.15</v>
      </c>
      <c r="P54" s="9">
        <v>570.88</v>
      </c>
      <c r="Q54" s="9"/>
      <c r="R54" s="9"/>
      <c r="S54" s="19">
        <f t="shared" si="4"/>
        <v>1245.03</v>
      </c>
      <c r="T54" s="19">
        <f t="shared" si="3"/>
        <v>5413.62</v>
      </c>
    </row>
    <row r="55" spans="1:20" hidden="1" x14ac:dyDescent="0.25">
      <c r="A55" s="6" t="s">
        <v>66</v>
      </c>
      <c r="B55" s="7" t="s">
        <v>72</v>
      </c>
      <c r="C55" s="7" t="s">
        <v>102</v>
      </c>
      <c r="D55" s="8">
        <v>1191.76</v>
      </c>
      <c r="E55" s="9"/>
      <c r="F55" s="9"/>
      <c r="G55" s="9"/>
      <c r="H55" s="9">
        <v>475</v>
      </c>
      <c r="I55" s="9">
        <v>224.2</v>
      </c>
      <c r="J55" s="19">
        <f t="shared" si="0"/>
        <v>699.2</v>
      </c>
      <c r="K55" s="9"/>
      <c r="L55" s="9"/>
      <c r="M55" s="9"/>
      <c r="N55" s="25">
        <f t="shared" si="1"/>
        <v>1890.96</v>
      </c>
      <c r="O55" s="9"/>
      <c r="P55" s="9"/>
      <c r="Q55" s="9"/>
      <c r="R55" s="9"/>
      <c r="S55" s="19">
        <f t="shared" si="4"/>
        <v>0</v>
      </c>
      <c r="T55" s="19">
        <f t="shared" si="3"/>
        <v>1890.96</v>
      </c>
    </row>
    <row r="56" spans="1:20" hidden="1" x14ac:dyDescent="0.25">
      <c r="H56" s="1">
        <f>SUM(H5:H55)</f>
        <v>20900</v>
      </c>
      <c r="I56" s="1">
        <f>SUM(I5:I55)</f>
        <v>6700.2199999999984</v>
      </c>
      <c r="J56" s="1"/>
      <c r="N56" s="3"/>
      <c r="T56" s="1">
        <f>SUM(T5:T55)</f>
        <v>239711.62000000002</v>
      </c>
    </row>
    <row r="57" spans="1:20" x14ac:dyDescent="0.25">
      <c r="H57" s="1"/>
      <c r="I57" s="1"/>
      <c r="J57" s="1"/>
      <c r="N57" s="3"/>
      <c r="T57" s="1"/>
    </row>
    <row r="58" spans="1:20" x14ac:dyDescent="0.25">
      <c r="N58" s="3"/>
    </row>
    <row r="59" spans="1:20" ht="19.5" x14ac:dyDescent="0.3">
      <c r="A59" s="21" t="s">
        <v>108</v>
      </c>
      <c r="N59" s="3"/>
    </row>
    <row r="60" spans="1:20" ht="19.5" x14ac:dyDescent="0.25">
      <c r="A60" s="32" t="s">
        <v>0</v>
      </c>
      <c r="B60" s="33" t="s">
        <v>1</v>
      </c>
      <c r="C60" s="33" t="s">
        <v>2</v>
      </c>
      <c r="D60" s="33" t="s">
        <v>111</v>
      </c>
      <c r="E60" s="33" t="s">
        <v>110</v>
      </c>
      <c r="F60" s="33" t="s">
        <v>11</v>
      </c>
      <c r="G60" s="32" t="s">
        <v>12</v>
      </c>
      <c r="H60" s="30"/>
      <c r="I60" s="30"/>
      <c r="J60" s="33" t="s">
        <v>109</v>
      </c>
      <c r="K60" s="31"/>
      <c r="L60" s="31"/>
      <c r="M60" s="31"/>
      <c r="N60" s="31"/>
      <c r="O60" s="31"/>
      <c r="P60" s="31"/>
      <c r="Q60" s="31"/>
      <c r="R60" s="31"/>
    </row>
    <row r="61" spans="1:20" x14ac:dyDescent="0.25">
      <c r="A61" s="6" t="s">
        <v>23</v>
      </c>
      <c r="B61" s="7" t="s">
        <v>68</v>
      </c>
      <c r="C61" s="7" t="s">
        <v>96</v>
      </c>
      <c r="D61" s="19">
        <v>1601.55</v>
      </c>
      <c r="E61" s="8"/>
      <c r="F61" s="20"/>
      <c r="G61" s="20"/>
      <c r="J61" s="20"/>
      <c r="N61" s="3"/>
    </row>
    <row r="62" spans="1:20" x14ac:dyDescent="0.25">
      <c r="A62" s="6" t="s">
        <v>61</v>
      </c>
      <c r="B62" s="7" t="s">
        <v>88</v>
      </c>
      <c r="C62" s="7" t="s">
        <v>93</v>
      </c>
      <c r="D62" s="19">
        <v>4277.3500000000004</v>
      </c>
      <c r="E62" s="8"/>
      <c r="F62" s="20"/>
      <c r="G62" s="20"/>
      <c r="J62" s="20"/>
      <c r="N62" s="3"/>
      <c r="S62" s="2" t="s">
        <v>124</v>
      </c>
    </row>
    <row r="63" spans="1:20" x14ac:dyDescent="0.25">
      <c r="A63" s="7" t="s">
        <v>62</v>
      </c>
      <c r="B63" s="7" t="s">
        <v>83</v>
      </c>
      <c r="C63" s="7" t="s">
        <v>94</v>
      </c>
      <c r="D63" s="19">
        <v>1601.55</v>
      </c>
      <c r="E63" s="8"/>
      <c r="F63" s="20"/>
      <c r="G63" s="20"/>
      <c r="J63" s="20"/>
      <c r="N63" s="3"/>
    </row>
    <row r="64" spans="1:20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x14ac:dyDescent="0.25">
      <c r="N83" s="3"/>
    </row>
    <row r="84" spans="14:14" x14ac:dyDescent="0.25">
      <c r="N84" s="3"/>
    </row>
    <row r="85" spans="14:14" x14ac:dyDescent="0.25">
      <c r="N85" s="3"/>
    </row>
    <row r="86" spans="14:14" x14ac:dyDescent="0.25">
      <c r="N86" s="3"/>
    </row>
    <row r="87" spans="14:14" x14ac:dyDescent="0.25">
      <c r="N87" s="3"/>
    </row>
    <row r="88" spans="14:14" x14ac:dyDescent="0.25">
      <c r="N88" s="3"/>
    </row>
    <row r="89" spans="14:14" x14ac:dyDescent="0.25">
      <c r="N89" s="3"/>
    </row>
    <row r="90" spans="14:14" x14ac:dyDescent="0.25">
      <c r="N90" s="3"/>
    </row>
    <row r="91" spans="14:14" x14ac:dyDescent="0.25">
      <c r="N91" s="3"/>
    </row>
    <row r="92" spans="14:14" x14ac:dyDescent="0.25">
      <c r="N92" s="3"/>
    </row>
    <row r="93" spans="14:14" x14ac:dyDescent="0.25">
      <c r="N93" s="3"/>
    </row>
    <row r="94" spans="14:14" x14ac:dyDescent="0.25">
      <c r="N94" s="3"/>
    </row>
    <row r="95" spans="14:14" x14ac:dyDescent="0.25">
      <c r="N95" s="3"/>
    </row>
    <row r="96" spans="14:14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  <row r="120" spans="14:14" x14ac:dyDescent="0.25">
      <c r="N120" s="3"/>
    </row>
    <row r="121" spans="14:14" x14ac:dyDescent="0.25">
      <c r="N121" s="3"/>
    </row>
    <row r="122" spans="14:14" x14ac:dyDescent="0.25">
      <c r="N122" s="3"/>
    </row>
    <row r="123" spans="14:14" x14ac:dyDescent="0.25">
      <c r="N123" s="3"/>
    </row>
  </sheetData>
  <autoFilter ref="A4:T63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</filters>
    </filterColumn>
  </autoFilter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view="pageLayout" zoomScaleNormal="100" workbookViewId="0">
      <selection activeCell="B58" sqref="B58"/>
    </sheetView>
  </sheetViews>
  <sheetFormatPr defaultRowHeight="15" x14ac:dyDescent="0.25"/>
  <cols>
    <col min="1" max="1" width="46.28515625" customWidth="1"/>
    <col min="2" max="2" width="30.28515625" customWidth="1"/>
    <col min="3" max="3" width="29.85546875" customWidth="1"/>
    <col min="4" max="4" width="17.42578125" customWidth="1"/>
    <col min="5" max="5" width="16.85546875" customWidth="1"/>
    <col min="6" max="6" width="15" customWidth="1"/>
    <col min="7" max="7" width="14.5703125" customWidth="1"/>
    <col min="8" max="8" width="15.42578125" customWidth="1"/>
    <col min="9" max="9" width="16.28515625" customWidth="1"/>
    <col min="10" max="10" width="15.7109375" customWidth="1"/>
    <col min="11" max="11" width="17.5703125" customWidth="1"/>
    <col min="12" max="13" width="18.5703125" customWidth="1"/>
    <col min="14" max="14" width="18.140625" customWidth="1"/>
    <col min="15" max="15" width="18" customWidth="1"/>
    <col min="16" max="16" width="17.7109375" customWidth="1"/>
    <col min="17" max="17" width="16" customWidth="1"/>
    <col min="18" max="18" width="17.42578125" customWidth="1"/>
    <col min="19" max="19" width="16" customWidth="1"/>
    <col min="20" max="20" width="14.5703125" customWidth="1"/>
    <col min="21" max="21" width="16.42578125" customWidth="1"/>
  </cols>
  <sheetData>
    <row r="1" spans="1:21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 x14ac:dyDescent="0.3">
      <c r="A2" s="45" t="s">
        <v>136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1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570</v>
      </c>
      <c r="I5" s="9"/>
      <c r="J5" s="9">
        <v>380</v>
      </c>
      <c r="K5" s="28">
        <f>SUM(H5:I5:J5)</f>
        <v>950</v>
      </c>
      <c r="L5" s="9"/>
      <c r="M5" s="9"/>
      <c r="N5" s="9"/>
      <c r="O5" s="47">
        <f t="shared" ref="O5:O57" si="0">SUM(D5+E5+F5+G5+K5+L5+M5+N5)</f>
        <v>4467.9799999999996</v>
      </c>
      <c r="P5" s="9">
        <v>114.11</v>
      </c>
      <c r="Q5" s="9">
        <v>386.37</v>
      </c>
      <c r="R5" s="9">
        <v>51.75</v>
      </c>
      <c r="S5" s="9">
        <v>133.68</v>
      </c>
      <c r="T5" s="9">
        <f>SUM(P5:Q5:R5:S5)</f>
        <v>685.91000000000008</v>
      </c>
      <c r="U5" s="47">
        <f t="shared" ref="U5:U57" si="1">SUM(O5-T5)</f>
        <v>3782.0699999999997</v>
      </c>
    </row>
    <row r="6" spans="1:21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/>
      <c r="H6" s="9">
        <v>570</v>
      </c>
      <c r="I6" s="9">
        <v>250</v>
      </c>
      <c r="J6" s="9"/>
      <c r="K6" s="28">
        <f>SUM(H6:I6:J6)</f>
        <v>820</v>
      </c>
      <c r="L6" s="9"/>
      <c r="M6" s="9"/>
      <c r="N6" s="9"/>
      <c r="O6" s="47">
        <f t="shared" si="0"/>
        <v>4337.9799999999996</v>
      </c>
      <c r="P6" s="9">
        <v>63.59</v>
      </c>
      <c r="Q6" s="9">
        <v>386.98</v>
      </c>
      <c r="R6" s="9"/>
      <c r="S6" s="9"/>
      <c r="T6" s="9">
        <f>SUM(P6:Q6:R6:S6)</f>
        <v>450.57000000000005</v>
      </c>
      <c r="U6" s="47">
        <f t="shared" si="1"/>
        <v>3887.4099999999994</v>
      </c>
    </row>
    <row r="7" spans="1:21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570</v>
      </c>
      <c r="I7" s="9"/>
      <c r="J7" s="9"/>
      <c r="K7" s="28">
        <f>SUM(H7:I7:J7)</f>
        <v>570</v>
      </c>
      <c r="L7" s="9"/>
      <c r="M7" s="9"/>
      <c r="N7" s="9"/>
      <c r="O7" s="47">
        <f t="shared" si="0"/>
        <v>12909.48</v>
      </c>
      <c r="P7" s="9">
        <v>2314.87</v>
      </c>
      <c r="Q7" s="9">
        <v>570.88</v>
      </c>
      <c r="R7" s="9"/>
      <c r="S7" s="9"/>
      <c r="T7" s="9">
        <f>SUM(P7:Q7:R7:S7)</f>
        <v>2885.75</v>
      </c>
      <c r="U7" s="47">
        <f t="shared" si="1"/>
        <v>10023.73</v>
      </c>
    </row>
    <row r="8" spans="1:21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570</v>
      </c>
      <c r="I8" s="9"/>
      <c r="J8" s="9">
        <v>144.4</v>
      </c>
      <c r="K8" s="28">
        <f>SUM(H8:I8:J8)</f>
        <v>714.4</v>
      </c>
      <c r="L8" s="9"/>
      <c r="M8" s="9"/>
      <c r="N8" s="9">
        <v>4553.51</v>
      </c>
      <c r="O8" s="47">
        <f t="shared" si="0"/>
        <v>10417.64</v>
      </c>
      <c r="P8" s="9">
        <v>1537.76</v>
      </c>
      <c r="Q8" s="9">
        <v>570.88</v>
      </c>
      <c r="R8" s="9"/>
      <c r="S8" s="9">
        <v>144.4</v>
      </c>
      <c r="T8" s="9">
        <f>SUM(P8:Q8:R8:S8)</f>
        <v>2253.04</v>
      </c>
      <c r="U8" s="47">
        <f t="shared" si="1"/>
        <v>8164.5999999999995</v>
      </c>
    </row>
    <row r="9" spans="1:21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/>
      <c r="G9" s="9"/>
      <c r="H9" s="9">
        <v>570</v>
      </c>
      <c r="I9" s="9"/>
      <c r="J9" s="9">
        <v>247</v>
      </c>
      <c r="K9" s="28">
        <f>SUM(H9:I9:J9)</f>
        <v>817</v>
      </c>
      <c r="L9" s="9"/>
      <c r="M9" s="9"/>
      <c r="N9" s="9"/>
      <c r="O9" s="47">
        <f t="shared" si="0"/>
        <v>4334.9799999999996</v>
      </c>
      <c r="P9" s="9">
        <v>82.07</v>
      </c>
      <c r="Q9" s="9">
        <v>383.4</v>
      </c>
      <c r="R9" s="9">
        <v>89.72</v>
      </c>
      <c r="S9" s="9">
        <v>133.68</v>
      </c>
      <c r="T9" s="9">
        <f>SUM(P9:Q9:R9:S9)</f>
        <v>688.86999999999989</v>
      </c>
      <c r="U9" s="47">
        <f t="shared" si="1"/>
        <v>3646.1099999999997</v>
      </c>
    </row>
    <row r="10" spans="1:21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570</v>
      </c>
      <c r="I10" s="9"/>
      <c r="J10" s="42">
        <v>144.4</v>
      </c>
      <c r="K10" s="28">
        <f>SUM(H10:I10:J10)</f>
        <v>714.4</v>
      </c>
      <c r="L10" s="9"/>
      <c r="M10" s="9"/>
      <c r="N10" s="9"/>
      <c r="O10" s="47">
        <f t="shared" si="0"/>
        <v>4232.38</v>
      </c>
      <c r="P10" s="9">
        <v>114.85</v>
      </c>
      <c r="Q10" s="9">
        <v>386.98</v>
      </c>
      <c r="R10" s="9">
        <v>35.18</v>
      </c>
      <c r="S10" s="9">
        <v>133.68</v>
      </c>
      <c r="T10" s="9">
        <f>SUM(P10:Q10:R10:S10)</f>
        <v>670.69</v>
      </c>
      <c r="U10" s="47">
        <f t="shared" si="1"/>
        <v>3561.69</v>
      </c>
    </row>
    <row r="11" spans="1:2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570</v>
      </c>
      <c r="I11" s="9"/>
      <c r="J11" s="9">
        <v>300.2</v>
      </c>
      <c r="K11" s="28">
        <f>SUM(H11:I11:J11)</f>
        <v>870.2</v>
      </c>
      <c r="L11" s="9"/>
      <c r="M11" s="9"/>
      <c r="N11" s="9"/>
      <c r="O11" s="47">
        <f t="shared" si="0"/>
        <v>2179.12</v>
      </c>
      <c r="P11" s="9"/>
      <c r="Q11" s="9"/>
      <c r="R11" s="9"/>
      <c r="S11" s="9"/>
      <c r="T11" s="9">
        <f>SUM(P11:Q11:R11:S11)</f>
        <v>0</v>
      </c>
      <c r="U11" s="47">
        <f t="shared" si="1"/>
        <v>2179.12</v>
      </c>
    </row>
    <row r="12" spans="1:21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570</v>
      </c>
      <c r="I12" s="9"/>
      <c r="J12" s="9"/>
      <c r="K12" s="28">
        <f>SUM(H12:I12:J12)</f>
        <v>570</v>
      </c>
      <c r="L12" s="12"/>
      <c r="M12" s="9"/>
      <c r="N12" s="9"/>
      <c r="O12" s="47">
        <f t="shared" si="0"/>
        <v>9965.69</v>
      </c>
      <c r="P12" s="9">
        <v>1557.46</v>
      </c>
      <c r="Q12" s="9">
        <v>570.88</v>
      </c>
      <c r="R12" s="9"/>
      <c r="S12" s="9"/>
      <c r="T12" s="9">
        <f>SUM(P12:Q12:R12:S12)</f>
        <v>2128.34</v>
      </c>
      <c r="U12" s="47">
        <f t="shared" si="1"/>
        <v>7837.35</v>
      </c>
    </row>
    <row r="13" spans="1:21" x14ac:dyDescent="0.25">
      <c r="A13" s="7" t="s">
        <v>26</v>
      </c>
      <c r="B13" s="7" t="s">
        <v>68</v>
      </c>
      <c r="C13" s="7" t="s">
        <v>96</v>
      </c>
      <c r="D13" s="19">
        <v>1055.3900000000001</v>
      </c>
      <c r="E13" s="9"/>
      <c r="F13" s="9"/>
      <c r="G13" s="9"/>
      <c r="H13" s="9">
        <v>0</v>
      </c>
      <c r="I13" s="9"/>
      <c r="J13" s="43">
        <v>0</v>
      </c>
      <c r="K13" s="28">
        <f>SUM(H13:I13:J13)</f>
        <v>0</v>
      </c>
      <c r="L13" s="9"/>
      <c r="M13" s="9"/>
      <c r="N13" s="9"/>
      <c r="O13" s="47">
        <f t="shared" si="0"/>
        <v>1055.3900000000001</v>
      </c>
      <c r="P13" s="9"/>
      <c r="Q13" s="9">
        <v>84.43</v>
      </c>
      <c r="R13" s="9"/>
      <c r="S13" s="9"/>
      <c r="T13" s="9">
        <f>SUM(P13:Q13:R13:S13)</f>
        <v>84.43</v>
      </c>
      <c r="U13" s="47">
        <f t="shared" si="1"/>
        <v>970.96</v>
      </c>
    </row>
    <row r="14" spans="1:21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420</v>
      </c>
      <c r="I14" s="9"/>
      <c r="J14" s="9">
        <v>114.8</v>
      </c>
      <c r="K14" s="28">
        <f>SUM(H14:I14:J14)</f>
        <v>534.79999999999995</v>
      </c>
      <c r="L14" s="9"/>
      <c r="M14" s="9"/>
      <c r="N14" s="9"/>
      <c r="O14" s="47">
        <f t="shared" si="0"/>
        <v>9930.49</v>
      </c>
      <c r="P14" s="9">
        <v>1557.46</v>
      </c>
      <c r="Q14" s="9">
        <v>570.88</v>
      </c>
      <c r="R14" s="9"/>
      <c r="S14" s="9">
        <v>114.8</v>
      </c>
      <c r="T14" s="9">
        <f>SUM(P14:Q14:R14:S14)</f>
        <v>2243.1400000000003</v>
      </c>
      <c r="U14" s="47">
        <f t="shared" si="1"/>
        <v>7687.3499999999995</v>
      </c>
    </row>
    <row r="15" spans="1:2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570</v>
      </c>
      <c r="I15" s="9"/>
      <c r="J15" s="19">
        <v>247</v>
      </c>
      <c r="K15" s="28">
        <f>SUM(H15:I15:J15)</f>
        <v>817</v>
      </c>
      <c r="L15" s="9"/>
      <c r="M15" s="9"/>
      <c r="N15" s="9"/>
      <c r="O15" s="47">
        <f t="shared" si="0"/>
        <v>2125.92</v>
      </c>
      <c r="P15" s="9"/>
      <c r="Q15" s="9"/>
      <c r="R15" s="9"/>
      <c r="S15" s="9"/>
      <c r="T15" s="9">
        <f>SUM(P15:Q15:R15:S15)</f>
        <v>0</v>
      </c>
      <c r="U15" s="47">
        <f t="shared" si="1"/>
        <v>2125.92</v>
      </c>
    </row>
    <row r="16" spans="1:21" x14ac:dyDescent="0.25">
      <c r="A16" s="13" t="s">
        <v>117</v>
      </c>
      <c r="B16" s="15" t="s">
        <v>75</v>
      </c>
      <c r="C16" s="15" t="s">
        <v>95</v>
      </c>
      <c r="D16" s="19"/>
      <c r="E16" s="9"/>
      <c r="F16" s="9"/>
      <c r="G16" s="9"/>
      <c r="H16" s="9">
        <v>0</v>
      </c>
      <c r="I16" s="9"/>
      <c r="J16" s="9"/>
      <c r="K16" s="28">
        <f>SUM(H16:I16:J16)</f>
        <v>0</v>
      </c>
      <c r="L16" s="9"/>
      <c r="M16" s="9"/>
      <c r="N16" s="9">
        <v>5426.21</v>
      </c>
      <c r="O16" s="47">
        <f t="shared" si="0"/>
        <v>5426.21</v>
      </c>
      <c r="P16" s="9">
        <v>570.71</v>
      </c>
      <c r="Q16" s="9"/>
      <c r="R16" s="9"/>
      <c r="S16" s="9"/>
      <c r="T16" s="9">
        <f>SUM(P16:Q16:R16:S16)</f>
        <v>570.71</v>
      </c>
      <c r="U16" s="47">
        <f t="shared" si="1"/>
        <v>4855.5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/>
      <c r="F17" s="9"/>
      <c r="G17" s="9"/>
      <c r="H17" s="9">
        <v>570</v>
      </c>
      <c r="I17" s="9"/>
      <c r="J17" s="9">
        <v>300.2</v>
      </c>
      <c r="K17" s="28">
        <f>SUM(H17:I17:J17)</f>
        <v>870.2</v>
      </c>
      <c r="L17" s="9"/>
      <c r="M17" s="9"/>
      <c r="N17" s="9"/>
      <c r="O17" s="47">
        <f t="shared" si="0"/>
        <v>4388.18</v>
      </c>
      <c r="P17" s="9">
        <v>114.85</v>
      </c>
      <c r="Q17" s="9">
        <v>386.98</v>
      </c>
      <c r="R17" s="9">
        <v>46.18</v>
      </c>
      <c r="S17" s="9">
        <v>133.68</v>
      </c>
      <c r="T17" s="9">
        <f>SUM(P17:Q17:R17:S17)</f>
        <v>681.69</v>
      </c>
      <c r="U17" s="47">
        <f t="shared" si="1"/>
        <v>3706.4900000000002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8046.12</v>
      </c>
      <c r="E18" s="9"/>
      <c r="F18" s="9"/>
      <c r="G18" s="9"/>
      <c r="H18" s="9">
        <v>570</v>
      </c>
      <c r="I18" s="9"/>
      <c r="J18" s="9">
        <v>155.80000000000001</v>
      </c>
      <c r="K18" s="28">
        <f>SUM(H18:I18:J18)</f>
        <v>725.8</v>
      </c>
      <c r="L18" s="9"/>
      <c r="M18" s="9"/>
      <c r="N18" s="9"/>
      <c r="O18" s="47">
        <f t="shared" si="0"/>
        <v>8771.92</v>
      </c>
      <c r="P18" s="9">
        <v>1186.33</v>
      </c>
      <c r="Q18" s="19">
        <v>570.88</v>
      </c>
      <c r="R18" s="9"/>
      <c r="S18" s="9">
        <v>155.80000000000001</v>
      </c>
      <c r="T18" s="9">
        <f>SUM(P18:Q18:R18:S18)</f>
        <v>1913.01</v>
      </c>
      <c r="U18" s="47">
        <f t="shared" si="1"/>
        <v>6858.91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4023.06</v>
      </c>
      <c r="E19" s="9">
        <v>4023.06</v>
      </c>
      <c r="F19" s="9"/>
      <c r="G19" s="9"/>
      <c r="H19" s="9">
        <v>210</v>
      </c>
      <c r="I19" s="9"/>
      <c r="J19" s="43"/>
      <c r="K19" s="28">
        <f>SUM(H19:I19:J19)</f>
        <v>210</v>
      </c>
      <c r="L19" s="9">
        <v>1341.02</v>
      </c>
      <c r="M19" s="9"/>
      <c r="N19" s="9"/>
      <c r="O19" s="47">
        <f t="shared" si="0"/>
        <v>9597.14</v>
      </c>
      <c r="P19" s="9">
        <v>717.83</v>
      </c>
      <c r="Q19" s="9">
        <v>570.88</v>
      </c>
      <c r="R19" s="9">
        <v>22</v>
      </c>
      <c r="S19" s="9"/>
      <c r="T19" s="9">
        <f>SUM(P19:Q19:R19:S19)</f>
        <v>1310.71</v>
      </c>
      <c r="U19" s="47">
        <f t="shared" si="1"/>
        <v>8286.43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570</v>
      </c>
      <c r="I20" s="9"/>
      <c r="J20" s="9"/>
      <c r="K20" s="28">
        <f>SUM(H20:I20:J20)</f>
        <v>570</v>
      </c>
      <c r="L20" s="9"/>
      <c r="M20" s="9"/>
      <c r="N20" s="9"/>
      <c r="O20" s="47">
        <f t="shared" si="0"/>
        <v>12909.48</v>
      </c>
      <c r="P20" s="9">
        <v>2367.0100000000002</v>
      </c>
      <c r="Q20" s="9">
        <v>570.88</v>
      </c>
      <c r="R20" s="9"/>
      <c r="S20" s="9"/>
      <c r="T20" s="9">
        <f>SUM(P20:Q20:R20:S20)</f>
        <v>2937.8900000000003</v>
      </c>
      <c r="U20" s="47">
        <f t="shared" si="1"/>
        <v>9971.59</v>
      </c>
    </row>
    <row r="21" spans="1:21" x14ac:dyDescent="0.25">
      <c r="A21" s="6" t="s">
        <v>131</v>
      </c>
      <c r="B21" s="7" t="s">
        <v>72</v>
      </c>
      <c r="C21" s="7" t="s">
        <v>98</v>
      </c>
      <c r="D21" s="19">
        <v>1308.92</v>
      </c>
      <c r="E21" s="9"/>
      <c r="F21" s="9"/>
      <c r="G21" s="9"/>
      <c r="H21" s="9">
        <v>570</v>
      </c>
      <c r="I21" s="9"/>
      <c r="J21" s="9">
        <v>247</v>
      </c>
      <c r="K21" s="28">
        <f>SUM(H21:I21:J21)</f>
        <v>817</v>
      </c>
      <c r="L21" s="9"/>
      <c r="M21" s="9"/>
      <c r="N21" s="9"/>
      <c r="O21" s="47">
        <f t="shared" si="0"/>
        <v>2125.92</v>
      </c>
      <c r="P21" s="9"/>
      <c r="Q21" s="9"/>
      <c r="R21" s="9"/>
      <c r="S21" s="9"/>
      <c r="T21" s="9">
        <f>SUM(P21:Q21:R21:S21)</f>
        <v>0</v>
      </c>
      <c r="U21" s="47">
        <f t="shared" si="1"/>
        <v>2125.92</v>
      </c>
    </row>
    <row r="22" spans="1:2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570</v>
      </c>
      <c r="I22" s="9"/>
      <c r="J22" s="9">
        <v>155.80000000000001</v>
      </c>
      <c r="K22" s="28">
        <f>SUM(H22:I22:J22)</f>
        <v>725.8</v>
      </c>
      <c r="L22" s="9"/>
      <c r="M22" s="9"/>
      <c r="N22" s="9"/>
      <c r="O22" s="47">
        <f t="shared" si="0"/>
        <v>2034.72</v>
      </c>
      <c r="P22" s="9"/>
      <c r="Q22" s="9"/>
      <c r="R22" s="9"/>
      <c r="S22" s="9"/>
      <c r="T22" s="9">
        <f>SUM(P22:Q22:R22:S22)</f>
        <v>0</v>
      </c>
      <c r="U22" s="47">
        <f t="shared" si="1"/>
        <v>2034.72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9460.27</v>
      </c>
      <c r="E23" s="9">
        <v>2879.21</v>
      </c>
      <c r="F23" s="9"/>
      <c r="G23" s="9"/>
      <c r="H23" s="9">
        <v>450</v>
      </c>
      <c r="I23" s="9"/>
      <c r="J23" s="43">
        <v>195</v>
      </c>
      <c r="K23" s="28">
        <f>SUM(H23:I23:J23)</f>
        <v>645</v>
      </c>
      <c r="L23" s="9">
        <v>959.74</v>
      </c>
      <c r="M23" s="19"/>
      <c r="N23" s="9"/>
      <c r="O23" s="47">
        <f t="shared" si="0"/>
        <v>13944.22</v>
      </c>
      <c r="P23" s="9">
        <v>3379.68</v>
      </c>
      <c r="Q23" s="9">
        <v>570.88</v>
      </c>
      <c r="R23" s="9">
        <v>11</v>
      </c>
      <c r="S23" s="9">
        <v>195</v>
      </c>
      <c r="T23" s="9">
        <f>SUM(P23:Q23:R23:S23)</f>
        <v>4156.5599999999995</v>
      </c>
      <c r="U23" s="47">
        <f t="shared" si="1"/>
        <v>9787.66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>
        <v>121.08</v>
      </c>
      <c r="H24" s="9">
        <v>570</v>
      </c>
      <c r="I24" s="9"/>
      <c r="J24" s="9"/>
      <c r="K24" s="28">
        <f>SUM(H24:I24:J24)</f>
        <v>570</v>
      </c>
      <c r="L24" s="9"/>
      <c r="M24" s="9"/>
      <c r="N24" s="9"/>
      <c r="O24" s="47">
        <f t="shared" si="0"/>
        <v>4209.0599999999995</v>
      </c>
      <c r="P24" s="9">
        <v>129.76</v>
      </c>
      <c r="Q24" s="9">
        <v>399.26</v>
      </c>
      <c r="R24" s="9">
        <v>9.3800000000000008</v>
      </c>
      <c r="S24" s="9"/>
      <c r="T24" s="9">
        <f>SUM(P24:Q24:R24:S24)</f>
        <v>538.4</v>
      </c>
      <c r="U24" s="47">
        <f t="shared" si="1"/>
        <v>3670.6599999999994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2697.12</v>
      </c>
      <c r="E25" s="9">
        <v>820.86</v>
      </c>
      <c r="F25" s="9"/>
      <c r="G25" s="9"/>
      <c r="H25" s="9">
        <v>420</v>
      </c>
      <c r="I25" s="9"/>
      <c r="J25" s="9">
        <v>0</v>
      </c>
      <c r="K25" s="28">
        <f>SUM(H25:I25:J25)</f>
        <v>420</v>
      </c>
      <c r="L25" s="9">
        <v>273.62</v>
      </c>
      <c r="M25" s="9"/>
      <c r="N25" s="9"/>
      <c r="O25" s="47">
        <f t="shared" si="0"/>
        <v>4211.6000000000004</v>
      </c>
      <c r="P25" s="9">
        <v>310.56</v>
      </c>
      <c r="Q25" s="9">
        <v>417.08</v>
      </c>
      <c r="R25" s="9"/>
      <c r="S25" s="9"/>
      <c r="T25" s="9">
        <f>SUM(P25:Q25:R25:S25)</f>
        <v>727.64</v>
      </c>
      <c r="U25" s="47">
        <f t="shared" si="1"/>
        <v>3483.9600000000005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/>
      <c r="H26" s="9">
        <v>570</v>
      </c>
      <c r="I26" s="9"/>
      <c r="J26" s="43"/>
      <c r="K26" s="28">
        <f>SUM(H26:I26:J26)</f>
        <v>570</v>
      </c>
      <c r="L26" s="9"/>
      <c r="M26" s="9"/>
      <c r="N26" s="9"/>
      <c r="O26" s="47">
        <f t="shared" si="0"/>
        <v>8616.119999999999</v>
      </c>
      <c r="P26" s="9">
        <v>1186.33</v>
      </c>
      <c r="Q26" s="9">
        <v>570.88</v>
      </c>
      <c r="R26" s="9"/>
      <c r="S26" s="9"/>
      <c r="T26" s="9">
        <f>SUM(P26:Q26:R26:S26)</f>
        <v>1757.21</v>
      </c>
      <c r="U26" s="47">
        <f t="shared" si="1"/>
        <v>6858.9099999999989</v>
      </c>
    </row>
    <row r="27" spans="1:21" x14ac:dyDescent="0.25">
      <c r="A27" s="6" t="s">
        <v>133</v>
      </c>
      <c r="B27" s="17" t="s">
        <v>72</v>
      </c>
      <c r="C27" s="7" t="s">
        <v>106</v>
      </c>
      <c r="D27" s="19">
        <v>1308.92</v>
      </c>
      <c r="E27" s="9"/>
      <c r="F27" s="9"/>
      <c r="G27" s="9"/>
      <c r="H27" s="9">
        <v>570</v>
      </c>
      <c r="I27" s="9"/>
      <c r="J27" s="9">
        <v>247</v>
      </c>
      <c r="K27" s="28">
        <f>SUM(H27:I27:J27)</f>
        <v>817</v>
      </c>
      <c r="L27" s="9"/>
      <c r="M27" s="9"/>
      <c r="N27" s="9"/>
      <c r="O27" s="47">
        <f t="shared" si="0"/>
        <v>2125.92</v>
      </c>
      <c r="P27" s="9"/>
      <c r="Q27" s="9"/>
      <c r="R27" s="9"/>
      <c r="S27" s="9"/>
      <c r="T27" s="9">
        <f>SUM(P27:Q27:R27:S27)</f>
        <v>0</v>
      </c>
      <c r="U27" s="47">
        <f t="shared" si="1"/>
        <v>2125.92</v>
      </c>
    </row>
    <row r="28" spans="1:21" x14ac:dyDescent="0.25">
      <c r="A28" s="6" t="s">
        <v>38</v>
      </c>
      <c r="B28" s="17" t="s">
        <v>81</v>
      </c>
      <c r="C28" s="7" t="s">
        <v>98</v>
      </c>
      <c r="D28" s="19">
        <v>6791.55</v>
      </c>
      <c r="E28" s="9"/>
      <c r="F28" s="9"/>
      <c r="G28" s="9"/>
      <c r="H28" s="9">
        <v>570</v>
      </c>
      <c r="I28" s="9"/>
      <c r="J28" s="9">
        <v>155.80000000000001</v>
      </c>
      <c r="K28" s="28">
        <f>SUM(H28:I28:J28)</f>
        <v>725.8</v>
      </c>
      <c r="L28" s="9"/>
      <c r="M28" s="9"/>
      <c r="N28" s="9"/>
      <c r="O28" s="47">
        <f t="shared" si="0"/>
        <v>7517.35</v>
      </c>
      <c r="P28" s="9">
        <v>841.32</v>
      </c>
      <c r="Q28" s="9">
        <v>570.88</v>
      </c>
      <c r="R28" s="9"/>
      <c r="S28" s="9">
        <v>155.80000000000001</v>
      </c>
      <c r="T28" s="9">
        <f>SUM(P28:Q28:R28:S28)</f>
        <v>1568</v>
      </c>
      <c r="U28" s="47">
        <f t="shared" si="1"/>
        <v>5949.35</v>
      </c>
    </row>
    <row r="29" spans="1:21" x14ac:dyDescent="0.25">
      <c r="A29" s="13" t="s">
        <v>40</v>
      </c>
      <c r="B29" s="15" t="s">
        <v>69</v>
      </c>
      <c r="C29" s="7" t="s">
        <v>100</v>
      </c>
      <c r="D29" s="19">
        <v>3517.98</v>
      </c>
      <c r="E29" s="9"/>
      <c r="F29" s="9"/>
      <c r="G29" s="9"/>
      <c r="H29" s="9">
        <v>570</v>
      </c>
      <c r="I29" s="9"/>
      <c r="J29" s="9">
        <v>247</v>
      </c>
      <c r="K29" s="28">
        <f>SUM(H29:I29:J29)</f>
        <v>817</v>
      </c>
      <c r="L29" s="9"/>
      <c r="M29" s="9"/>
      <c r="N29" s="9"/>
      <c r="O29" s="47">
        <f t="shared" si="0"/>
        <v>4334.9799999999996</v>
      </c>
      <c r="P29" s="9">
        <v>114.62</v>
      </c>
      <c r="Q29" s="9">
        <v>386.78</v>
      </c>
      <c r="R29" s="9">
        <v>1.76</v>
      </c>
      <c r="S29" s="9">
        <v>133.68</v>
      </c>
      <c r="T29" s="9">
        <f>SUM(P29:Q29:R29:S29)</f>
        <v>636.83999999999992</v>
      </c>
      <c r="U29" s="47">
        <f t="shared" si="1"/>
        <v>3698.1399999999994</v>
      </c>
    </row>
    <row r="30" spans="1:21" x14ac:dyDescent="0.25">
      <c r="A30" s="6" t="s">
        <v>41</v>
      </c>
      <c r="B30" s="7" t="s">
        <v>77</v>
      </c>
      <c r="C30" s="7" t="s">
        <v>96</v>
      </c>
      <c r="D30" s="19">
        <v>8046.12</v>
      </c>
      <c r="E30" s="9"/>
      <c r="F30" s="9"/>
      <c r="G30" s="9"/>
      <c r="H30" s="9">
        <v>570</v>
      </c>
      <c r="I30" s="9"/>
      <c r="J30" s="43"/>
      <c r="K30" s="28">
        <f>SUM(H30:I30:J30)</f>
        <v>570</v>
      </c>
      <c r="L30" s="9"/>
      <c r="M30" s="9"/>
      <c r="N30" s="9"/>
      <c r="O30" s="47">
        <f t="shared" si="0"/>
        <v>8616.119999999999</v>
      </c>
      <c r="P30" s="9">
        <v>1186.33</v>
      </c>
      <c r="Q30" s="9">
        <v>570.88</v>
      </c>
      <c r="R30" s="9">
        <v>11</v>
      </c>
      <c r="S30" s="9"/>
      <c r="T30" s="9">
        <f>SUM(P30:Q30:R30:S30)</f>
        <v>1768.21</v>
      </c>
      <c r="U30" s="47">
        <f t="shared" si="1"/>
        <v>6847.9099999999989</v>
      </c>
    </row>
    <row r="31" spans="1:21" x14ac:dyDescent="0.25">
      <c r="A31" s="6" t="s">
        <v>42</v>
      </c>
      <c r="B31" s="7" t="s">
        <v>69</v>
      </c>
      <c r="C31" s="7" t="s">
        <v>100</v>
      </c>
      <c r="D31" s="19">
        <v>469.06</v>
      </c>
      <c r="E31" s="9">
        <v>4700.09</v>
      </c>
      <c r="F31" s="9"/>
      <c r="G31" s="9"/>
      <c r="H31" s="9">
        <v>570</v>
      </c>
      <c r="I31" s="9"/>
      <c r="J31" s="9">
        <v>247</v>
      </c>
      <c r="K31" s="28">
        <f>SUM(H31:I31:J31)</f>
        <v>817</v>
      </c>
      <c r="L31" s="9">
        <v>1566.7</v>
      </c>
      <c r="M31" s="9"/>
      <c r="N31" s="9"/>
      <c r="O31" s="47">
        <f t="shared" si="0"/>
        <v>7552.85</v>
      </c>
      <c r="P31" s="9">
        <v>33.67</v>
      </c>
      <c r="Q31" s="9">
        <v>328.34</v>
      </c>
      <c r="R31" s="9">
        <v>1719.91</v>
      </c>
      <c r="S31" s="9">
        <v>221</v>
      </c>
      <c r="T31" s="9">
        <f>SUM(P31:Q31:R31:S31)</f>
        <v>2302.92</v>
      </c>
      <c r="U31" s="47">
        <f t="shared" si="1"/>
        <v>5249.93</v>
      </c>
    </row>
    <row r="32" spans="1:21" x14ac:dyDescent="0.25">
      <c r="A32" s="6" t="s">
        <v>43</v>
      </c>
      <c r="B32" s="7" t="s">
        <v>76</v>
      </c>
      <c r="C32" s="7" t="s">
        <v>97</v>
      </c>
      <c r="D32" s="19">
        <v>8046.12</v>
      </c>
      <c r="E32" s="12"/>
      <c r="F32" s="9"/>
      <c r="G32" s="9"/>
      <c r="H32" s="9">
        <v>570</v>
      </c>
      <c r="I32" s="9"/>
      <c r="J32" s="9">
        <v>155.80000000000001</v>
      </c>
      <c r="K32" s="28">
        <f>SUM(H32:I32:J32)</f>
        <v>725.8</v>
      </c>
      <c r="L32" s="9"/>
      <c r="M32" s="9"/>
      <c r="N32" s="9"/>
      <c r="O32" s="47">
        <f t="shared" si="0"/>
        <v>8771.92</v>
      </c>
      <c r="P32" s="9">
        <v>1186.33</v>
      </c>
      <c r="Q32" s="9">
        <v>570.88</v>
      </c>
      <c r="R32" s="9"/>
      <c r="S32" s="9">
        <v>155.80000000000001</v>
      </c>
      <c r="T32" s="9">
        <f>SUM(P32:Q32:R32:S32)</f>
        <v>1913.01</v>
      </c>
      <c r="U32" s="47">
        <f t="shared" si="1"/>
        <v>6858.91</v>
      </c>
    </row>
    <row r="33" spans="1:21" x14ac:dyDescent="0.25">
      <c r="A33" s="7" t="s">
        <v>44</v>
      </c>
      <c r="B33" s="7" t="s">
        <v>69</v>
      </c>
      <c r="C33" s="7" t="s">
        <v>100</v>
      </c>
      <c r="D33" s="19">
        <v>3517.98</v>
      </c>
      <c r="E33" s="9"/>
      <c r="F33" s="9"/>
      <c r="G33" s="9">
        <v>287.3</v>
      </c>
      <c r="H33" s="9">
        <v>570</v>
      </c>
      <c r="I33" s="9"/>
      <c r="J33" s="9">
        <v>397.1</v>
      </c>
      <c r="K33" s="28">
        <f>SUM(H33:I33:J33)</f>
        <v>967.1</v>
      </c>
      <c r="L33" s="9"/>
      <c r="M33" s="9"/>
      <c r="N33" s="9"/>
      <c r="O33" s="47">
        <f t="shared" si="0"/>
        <v>4772.38</v>
      </c>
      <c r="P33" s="9">
        <v>150.82</v>
      </c>
      <c r="Q33" s="9">
        <v>416.61</v>
      </c>
      <c r="R33" s="9">
        <v>28.88</v>
      </c>
      <c r="S33" s="9">
        <v>133.68</v>
      </c>
      <c r="T33" s="9">
        <f>SUM(P33:Q33:R33:S33)</f>
        <v>729.99</v>
      </c>
      <c r="U33" s="47">
        <f t="shared" si="1"/>
        <v>4042.3900000000003</v>
      </c>
    </row>
    <row r="34" spans="1:21" x14ac:dyDescent="0.25">
      <c r="A34" s="7" t="s">
        <v>45</v>
      </c>
      <c r="B34" s="7" t="s">
        <v>82</v>
      </c>
      <c r="C34" s="7" t="s">
        <v>97</v>
      </c>
      <c r="D34" s="19">
        <v>12339.48</v>
      </c>
      <c r="E34" s="9"/>
      <c r="F34" s="9"/>
      <c r="G34" s="9"/>
      <c r="H34" s="9">
        <v>570</v>
      </c>
      <c r="I34" s="9"/>
      <c r="J34" s="9">
        <v>1009.28</v>
      </c>
      <c r="K34" s="28">
        <f>SUM(H34:I34:J34)</f>
        <v>1579.28</v>
      </c>
      <c r="L34" s="9"/>
      <c r="M34" s="9"/>
      <c r="N34" s="9"/>
      <c r="O34" s="47">
        <f t="shared" si="0"/>
        <v>13918.76</v>
      </c>
      <c r="P34" s="9">
        <v>2367.0100000000002</v>
      </c>
      <c r="Q34" s="9">
        <v>1039.78</v>
      </c>
      <c r="R34" s="9"/>
      <c r="S34" s="9"/>
      <c r="T34" s="9">
        <f>SUM(P34:Q34:R34:S34)</f>
        <v>3406.79</v>
      </c>
      <c r="U34" s="47">
        <f t="shared" si="1"/>
        <v>10511.970000000001</v>
      </c>
    </row>
    <row r="35" spans="1:21" x14ac:dyDescent="0.25">
      <c r="A35" s="7" t="s">
        <v>46</v>
      </c>
      <c r="B35" s="7" t="s">
        <v>83</v>
      </c>
      <c r="C35" s="7" t="s">
        <v>94</v>
      </c>
      <c r="D35" s="19">
        <v>3517.98</v>
      </c>
      <c r="E35" s="9"/>
      <c r="F35" s="9"/>
      <c r="G35" s="9">
        <v>20.010000000000002</v>
      </c>
      <c r="H35" s="9">
        <v>570</v>
      </c>
      <c r="I35" s="9"/>
      <c r="J35" s="9">
        <v>247</v>
      </c>
      <c r="K35" s="28">
        <f>SUM(H35:I35:J35)</f>
        <v>817</v>
      </c>
      <c r="L35" s="9"/>
      <c r="M35" s="9"/>
      <c r="N35" s="9"/>
      <c r="O35" s="47">
        <f t="shared" si="0"/>
        <v>4354.99</v>
      </c>
      <c r="P35" s="9">
        <v>111.38</v>
      </c>
      <c r="Q35" s="9">
        <v>384.12</v>
      </c>
      <c r="R35" s="9">
        <v>57.03</v>
      </c>
      <c r="S35" s="9">
        <v>133.68</v>
      </c>
      <c r="T35" s="9">
        <f>SUM(P35:Q35:R35:S35)</f>
        <v>686.21</v>
      </c>
      <c r="U35" s="47">
        <f t="shared" si="1"/>
        <v>3668.7799999999997</v>
      </c>
    </row>
    <row r="36" spans="1:21" x14ac:dyDescent="0.25">
      <c r="A36" s="7" t="s">
        <v>47</v>
      </c>
      <c r="B36" s="7" t="s">
        <v>84</v>
      </c>
      <c r="C36" s="7" t="s">
        <v>95</v>
      </c>
      <c r="D36" s="19">
        <v>4524.4799999999996</v>
      </c>
      <c r="E36" s="9">
        <v>7815</v>
      </c>
      <c r="F36" s="9"/>
      <c r="G36" s="9"/>
      <c r="H36" s="9">
        <v>570</v>
      </c>
      <c r="I36" s="9"/>
      <c r="J36" s="9">
        <v>53.2</v>
      </c>
      <c r="K36" s="28">
        <f>SUM(H36:I36:J36)</f>
        <v>623.20000000000005</v>
      </c>
      <c r="L36" s="9">
        <v>2605</v>
      </c>
      <c r="M36" s="9"/>
      <c r="N36" s="9"/>
      <c r="O36" s="47">
        <f t="shared" si="0"/>
        <v>15567.68</v>
      </c>
      <c r="P36" s="9">
        <v>3880</v>
      </c>
      <c r="Q36" s="9">
        <v>570.88</v>
      </c>
      <c r="R36" s="9"/>
      <c r="S36" s="9">
        <v>53.2</v>
      </c>
      <c r="T36" s="9">
        <f>SUM(P36:Q36:R36:S36)</f>
        <v>4504.08</v>
      </c>
      <c r="U36" s="47">
        <f t="shared" si="1"/>
        <v>11063.6</v>
      </c>
    </row>
    <row r="37" spans="1:21" x14ac:dyDescent="0.25">
      <c r="A37" s="7" t="s">
        <v>119</v>
      </c>
      <c r="B37" s="7" t="s">
        <v>72</v>
      </c>
      <c r="C37" s="7" t="s">
        <v>102</v>
      </c>
      <c r="D37" s="19">
        <v>1308.92</v>
      </c>
      <c r="E37" s="9"/>
      <c r="F37" s="9"/>
      <c r="G37" s="9"/>
      <c r="H37" s="9">
        <v>210</v>
      </c>
      <c r="I37" s="9"/>
      <c r="J37" s="19">
        <v>144.80000000000001</v>
      </c>
      <c r="K37" s="28">
        <f>SUM(H37:I37:J37)</f>
        <v>354.8</v>
      </c>
      <c r="L37" s="9"/>
      <c r="M37" s="9"/>
      <c r="N37" s="9"/>
      <c r="O37" s="47">
        <f t="shared" si="0"/>
        <v>1663.72</v>
      </c>
      <c r="P37" s="9"/>
      <c r="Q37" s="9"/>
      <c r="R37" s="9"/>
      <c r="S37" s="9"/>
      <c r="T37" s="9">
        <f>SUM(P37:Q37:R37:S37)</f>
        <v>0</v>
      </c>
      <c r="U37" s="47">
        <f t="shared" si="1"/>
        <v>1663.72</v>
      </c>
    </row>
    <row r="38" spans="1:21" x14ac:dyDescent="0.25">
      <c r="A38" s="7" t="s">
        <v>48</v>
      </c>
      <c r="B38" s="7" t="s">
        <v>85</v>
      </c>
      <c r="C38" s="7" t="s">
        <v>102</v>
      </c>
      <c r="D38" s="19">
        <v>9395.69</v>
      </c>
      <c r="E38" s="9"/>
      <c r="F38" s="9"/>
      <c r="G38" s="9"/>
      <c r="H38" s="9">
        <v>570</v>
      </c>
      <c r="I38" s="9"/>
      <c r="J38" s="9"/>
      <c r="K38" s="28">
        <f>SUM(H38:I38:J38)</f>
        <v>570</v>
      </c>
      <c r="L38" s="9"/>
      <c r="M38" s="9"/>
      <c r="N38" s="9"/>
      <c r="O38" s="47">
        <f t="shared" si="0"/>
        <v>9965.69</v>
      </c>
      <c r="P38" s="9">
        <v>1557.46</v>
      </c>
      <c r="Q38" s="9">
        <v>570.88</v>
      </c>
      <c r="R38" s="9"/>
      <c r="S38" s="9"/>
      <c r="T38" s="9">
        <f>SUM(P38:Q38:R38:S38)</f>
        <v>2128.34</v>
      </c>
      <c r="U38" s="47">
        <f t="shared" si="1"/>
        <v>7837.35</v>
      </c>
    </row>
    <row r="39" spans="1:21" x14ac:dyDescent="0.25">
      <c r="A39" s="7" t="s">
        <v>49</v>
      </c>
      <c r="B39" s="7" t="s">
        <v>86</v>
      </c>
      <c r="C39" s="7" t="s">
        <v>102</v>
      </c>
      <c r="D39" s="19">
        <v>6791.55</v>
      </c>
      <c r="E39" s="9"/>
      <c r="F39" s="9"/>
      <c r="G39" s="9">
        <v>831.97</v>
      </c>
      <c r="H39" s="9">
        <v>570</v>
      </c>
      <c r="I39" s="9"/>
      <c r="J39" s="9">
        <v>155.80000000000001</v>
      </c>
      <c r="K39" s="28">
        <f>SUM(H39:I39:J39)</f>
        <v>725.8</v>
      </c>
      <c r="L39" s="9"/>
      <c r="M39" s="9"/>
      <c r="N39" s="9"/>
      <c r="O39" s="47">
        <f t="shared" si="0"/>
        <v>8349.32</v>
      </c>
      <c r="P39" s="9">
        <v>1068.8699999999999</v>
      </c>
      <c r="Q39" s="19">
        <v>570.88</v>
      </c>
      <c r="R39" s="9"/>
      <c r="S39" s="9"/>
      <c r="T39" s="9">
        <f>SUM(P39:Q39:R39:S39)</f>
        <v>1639.75</v>
      </c>
      <c r="U39" s="47">
        <f t="shared" si="1"/>
        <v>6709.57</v>
      </c>
    </row>
    <row r="40" spans="1:21" x14ac:dyDescent="0.25">
      <c r="A40" s="7" t="s">
        <v>50</v>
      </c>
      <c r="B40" s="7" t="s">
        <v>80</v>
      </c>
      <c r="C40" s="7" t="s">
        <v>101</v>
      </c>
      <c r="D40" s="19">
        <v>1172.6600000000001</v>
      </c>
      <c r="E40" s="9">
        <v>2345.3200000000002</v>
      </c>
      <c r="F40" s="9"/>
      <c r="G40" s="9">
        <v>366.57</v>
      </c>
      <c r="H40" s="9">
        <v>180</v>
      </c>
      <c r="I40" s="9"/>
      <c r="J40" s="9">
        <v>60.6</v>
      </c>
      <c r="K40" s="28">
        <f>SUM(H40:I40:J40)</f>
        <v>240.6</v>
      </c>
      <c r="L40" s="9">
        <v>794.72</v>
      </c>
      <c r="M40" s="9"/>
      <c r="N40" s="9"/>
      <c r="O40" s="47">
        <f t="shared" si="0"/>
        <v>4919.8700000000008</v>
      </c>
      <c r="P40" s="9">
        <v>69.58</v>
      </c>
      <c r="Q40" s="9">
        <v>514.77</v>
      </c>
      <c r="R40" s="9">
        <v>11</v>
      </c>
      <c r="S40" s="9">
        <v>60.6</v>
      </c>
      <c r="T40" s="9">
        <f>SUM(P40:Q40:R40:S40)</f>
        <v>655.95</v>
      </c>
      <c r="U40" s="47">
        <f t="shared" si="1"/>
        <v>4263.920000000001</v>
      </c>
    </row>
    <row r="41" spans="1:21" x14ac:dyDescent="0.25">
      <c r="A41" s="6" t="s">
        <v>51</v>
      </c>
      <c r="B41" s="7" t="s">
        <v>68</v>
      </c>
      <c r="C41" s="7" t="s">
        <v>92</v>
      </c>
      <c r="D41" s="19">
        <v>3517.98</v>
      </c>
      <c r="E41" s="9"/>
      <c r="F41" s="9"/>
      <c r="G41" s="9"/>
      <c r="H41" s="9">
        <v>570</v>
      </c>
      <c r="I41" s="9"/>
      <c r="J41" s="9">
        <v>247</v>
      </c>
      <c r="K41" s="28">
        <f>SUM(H41:I41:J41)</f>
        <v>817</v>
      </c>
      <c r="L41" s="12"/>
      <c r="M41" s="9"/>
      <c r="N41" s="9"/>
      <c r="O41" s="47">
        <f t="shared" si="0"/>
        <v>4334.9799999999996</v>
      </c>
      <c r="P41" s="9">
        <v>114.85</v>
      </c>
      <c r="Q41" s="9">
        <v>386.98</v>
      </c>
      <c r="R41" s="9">
        <v>35.18</v>
      </c>
      <c r="S41" s="9">
        <v>133.68</v>
      </c>
      <c r="T41" s="9">
        <f>SUM(P41:Q41:R41:S41)</f>
        <v>670.69</v>
      </c>
      <c r="U41" s="47">
        <f t="shared" si="1"/>
        <v>3664.2899999999995</v>
      </c>
    </row>
    <row r="42" spans="1:21" x14ac:dyDescent="0.25">
      <c r="A42" s="7" t="s">
        <v>53</v>
      </c>
      <c r="B42" s="7" t="s">
        <v>68</v>
      </c>
      <c r="C42" s="7" t="s">
        <v>92</v>
      </c>
      <c r="D42" s="19">
        <v>3517.98</v>
      </c>
      <c r="E42" s="9"/>
      <c r="F42" s="9"/>
      <c r="G42" s="9"/>
      <c r="H42" s="9">
        <v>570</v>
      </c>
      <c r="I42" s="9"/>
      <c r="J42" s="9">
        <v>155.80000000000001</v>
      </c>
      <c r="K42" s="28">
        <f>SUM(H42:I42:J42)</f>
        <v>725.8</v>
      </c>
      <c r="L42" s="9"/>
      <c r="M42" s="9"/>
      <c r="N42" s="9"/>
      <c r="O42" s="47">
        <f t="shared" si="0"/>
        <v>4243.78</v>
      </c>
      <c r="P42" s="9">
        <v>114.85</v>
      </c>
      <c r="Q42" s="9">
        <v>386.98</v>
      </c>
      <c r="R42" s="9">
        <v>46.18</v>
      </c>
      <c r="S42" s="9">
        <v>133.68</v>
      </c>
      <c r="T42" s="9">
        <f>SUM(P42:Q42:R42:S42)</f>
        <v>681.69</v>
      </c>
      <c r="U42" s="47">
        <f t="shared" si="1"/>
        <v>3562.0899999999997</v>
      </c>
    </row>
    <row r="43" spans="1:21" x14ac:dyDescent="0.25">
      <c r="A43" s="7" t="s">
        <v>137</v>
      </c>
      <c r="B43" s="7" t="s">
        <v>69</v>
      </c>
      <c r="C43" s="7" t="s">
        <v>100</v>
      </c>
      <c r="D43" s="19">
        <v>820.86</v>
      </c>
      <c r="E43" s="9"/>
      <c r="F43" s="9"/>
      <c r="G43" s="9"/>
      <c r="H43" s="9">
        <v>0</v>
      </c>
      <c r="I43" s="9"/>
      <c r="J43" s="9"/>
      <c r="K43" s="28">
        <f>SUM(H43:I43:J43)</f>
        <v>0</v>
      </c>
      <c r="L43" s="9"/>
      <c r="M43" s="9"/>
      <c r="N43" s="9"/>
      <c r="O43" s="47">
        <f t="shared" si="0"/>
        <v>820.86</v>
      </c>
      <c r="P43" s="9"/>
      <c r="Q43" s="9">
        <v>65.67</v>
      </c>
      <c r="R43" s="9"/>
      <c r="S43" s="9">
        <v>42.22</v>
      </c>
      <c r="T43" s="9"/>
      <c r="U43" s="47">
        <f t="shared" si="1"/>
        <v>820.86</v>
      </c>
    </row>
    <row r="44" spans="1:21" x14ac:dyDescent="0.25">
      <c r="A44" s="7" t="s">
        <v>54</v>
      </c>
      <c r="B44" s="7" t="s">
        <v>76</v>
      </c>
      <c r="C44" s="7" t="s">
        <v>97</v>
      </c>
      <c r="D44" s="19">
        <v>8046.12</v>
      </c>
      <c r="E44" s="9"/>
      <c r="F44" s="9"/>
      <c r="G44" s="9"/>
      <c r="H44" s="9">
        <v>570</v>
      </c>
      <c r="I44" s="9">
        <v>250</v>
      </c>
      <c r="J44" s="19"/>
      <c r="K44" s="28">
        <f>SUM(H44:I44:J44)</f>
        <v>820</v>
      </c>
      <c r="L44" s="9"/>
      <c r="M44" s="9"/>
      <c r="N44" s="9"/>
      <c r="O44" s="47">
        <f t="shared" si="0"/>
        <v>8866.119999999999</v>
      </c>
      <c r="P44" s="9">
        <v>1134.19</v>
      </c>
      <c r="Q44" s="9">
        <v>570.88</v>
      </c>
      <c r="R44" s="9"/>
      <c r="S44" s="19"/>
      <c r="T44" s="9">
        <f>SUM(P44:Q44:R44:S44)</f>
        <v>1705.0700000000002</v>
      </c>
      <c r="U44" s="47">
        <f t="shared" si="1"/>
        <v>7161.0499999999993</v>
      </c>
    </row>
    <row r="45" spans="1:21" x14ac:dyDescent="0.25">
      <c r="A45" s="6" t="s">
        <v>55</v>
      </c>
      <c r="B45" s="7" t="s">
        <v>76</v>
      </c>
      <c r="C45" s="7" t="s">
        <v>97</v>
      </c>
      <c r="D45" s="19">
        <v>8046.12</v>
      </c>
      <c r="E45" s="9"/>
      <c r="F45" s="9"/>
      <c r="G45" s="9"/>
      <c r="H45" s="9">
        <v>570</v>
      </c>
      <c r="I45" s="9"/>
      <c r="J45" s="9"/>
      <c r="K45" s="28">
        <f>SUM(H45:I45:J45)</f>
        <v>570</v>
      </c>
      <c r="L45" s="9"/>
      <c r="M45" s="9"/>
      <c r="N45" s="9"/>
      <c r="O45" s="47">
        <f t="shared" si="0"/>
        <v>8616.119999999999</v>
      </c>
      <c r="P45" s="9">
        <v>1186.33</v>
      </c>
      <c r="Q45" s="9">
        <v>570.88</v>
      </c>
      <c r="R45" s="9"/>
      <c r="S45" s="9"/>
      <c r="T45" s="9">
        <f>SUM(P45:Q45:R45:S45)</f>
        <v>1757.21</v>
      </c>
      <c r="U45" s="47">
        <f t="shared" si="1"/>
        <v>6858.9099999999989</v>
      </c>
    </row>
    <row r="46" spans="1:21" x14ac:dyDescent="0.25">
      <c r="A46" s="6" t="s">
        <v>57</v>
      </c>
      <c r="B46" s="7" t="s">
        <v>76</v>
      </c>
      <c r="C46" s="7" t="s">
        <v>96</v>
      </c>
      <c r="D46" s="19">
        <v>8046.12</v>
      </c>
      <c r="E46" s="9"/>
      <c r="F46" s="9"/>
      <c r="G46" s="9"/>
      <c r="H46" s="9">
        <v>570</v>
      </c>
      <c r="I46" s="9"/>
      <c r="J46" s="43"/>
      <c r="K46" s="28">
        <f>SUM(H46:I46:J46)</f>
        <v>570</v>
      </c>
      <c r="L46" s="9"/>
      <c r="M46" s="9"/>
      <c r="N46" s="9"/>
      <c r="O46" s="47">
        <f t="shared" si="0"/>
        <v>8616.119999999999</v>
      </c>
      <c r="P46" s="9">
        <v>1186.33</v>
      </c>
      <c r="Q46" s="9">
        <v>570.88</v>
      </c>
      <c r="R46" s="9">
        <v>11</v>
      </c>
      <c r="S46" s="9"/>
      <c r="T46" s="9">
        <f>SUM(P46:Q46:R46:S46)</f>
        <v>1768.21</v>
      </c>
      <c r="U46" s="47">
        <f t="shared" si="1"/>
        <v>6847.9099999999989</v>
      </c>
    </row>
    <row r="47" spans="1:21" x14ac:dyDescent="0.25">
      <c r="A47" s="6" t="s">
        <v>58</v>
      </c>
      <c r="B47" s="7" t="s">
        <v>68</v>
      </c>
      <c r="C47" s="7" t="s">
        <v>92</v>
      </c>
      <c r="D47" s="19">
        <v>3517.98</v>
      </c>
      <c r="E47" s="9"/>
      <c r="F47" s="9"/>
      <c r="G47" s="9"/>
      <c r="H47" s="9">
        <v>570</v>
      </c>
      <c r="I47" s="9"/>
      <c r="J47" s="9">
        <v>247</v>
      </c>
      <c r="K47" s="28">
        <f>SUM(H47:I47:J47)</f>
        <v>817</v>
      </c>
      <c r="L47" s="9"/>
      <c r="M47" s="9"/>
      <c r="N47" s="9"/>
      <c r="O47" s="47">
        <f t="shared" si="0"/>
        <v>4334.9799999999996</v>
      </c>
      <c r="P47" s="9">
        <v>63.59</v>
      </c>
      <c r="Q47" s="9">
        <v>386.98</v>
      </c>
      <c r="R47" s="9">
        <v>68.180000000000007</v>
      </c>
      <c r="S47" s="9">
        <v>133.68</v>
      </c>
      <c r="T47" s="9">
        <f>SUM(P47:Q47:R47:S47)</f>
        <v>652.43000000000006</v>
      </c>
      <c r="U47" s="47">
        <f t="shared" si="1"/>
        <v>3682.5499999999993</v>
      </c>
    </row>
    <row r="48" spans="1:21" x14ac:dyDescent="0.25">
      <c r="A48" s="6" t="s">
        <v>59</v>
      </c>
      <c r="B48" s="7" t="s">
        <v>76</v>
      </c>
      <c r="C48" s="7" t="s">
        <v>96</v>
      </c>
      <c r="D48" s="19">
        <v>6705.1</v>
      </c>
      <c r="E48" s="9">
        <v>1341.02</v>
      </c>
      <c r="F48" s="9"/>
      <c r="G48" s="9"/>
      <c r="H48" s="9">
        <v>480</v>
      </c>
      <c r="I48" s="9"/>
      <c r="J48" s="43">
        <v>131.19999999999999</v>
      </c>
      <c r="K48" s="28">
        <f>SUM(H48:I48:J48)</f>
        <v>611.20000000000005</v>
      </c>
      <c r="L48" s="9">
        <v>447.01</v>
      </c>
      <c r="M48" s="9"/>
      <c r="N48" s="9"/>
      <c r="O48" s="47">
        <f t="shared" si="0"/>
        <v>9104.3300000000017</v>
      </c>
      <c r="P48" s="9">
        <v>838.57</v>
      </c>
      <c r="Q48" s="9">
        <v>570.88</v>
      </c>
      <c r="R48" s="9">
        <v>84.48</v>
      </c>
      <c r="S48" s="9">
        <v>131.19999999999999</v>
      </c>
      <c r="T48" s="9">
        <f>SUM(P48:Q48:R48:S48)</f>
        <v>1625.13</v>
      </c>
      <c r="U48" s="47">
        <f t="shared" si="1"/>
        <v>7479.2000000000016</v>
      </c>
    </row>
    <row r="49" spans="1:21" x14ac:dyDescent="0.25">
      <c r="A49" s="6" t="s">
        <v>60</v>
      </c>
      <c r="B49" s="7" t="s">
        <v>87</v>
      </c>
      <c r="C49" s="7" t="s">
        <v>94</v>
      </c>
      <c r="D49" s="19">
        <v>6791.55</v>
      </c>
      <c r="E49" s="9"/>
      <c r="F49" s="9"/>
      <c r="G49" s="9"/>
      <c r="H49" s="9">
        <v>570</v>
      </c>
      <c r="I49" s="9"/>
      <c r="J49" s="9">
        <v>144.4</v>
      </c>
      <c r="K49" s="28">
        <f>SUM(H49:I49:J49)</f>
        <v>714.4</v>
      </c>
      <c r="L49" s="9"/>
      <c r="M49" s="9"/>
      <c r="N49" s="9"/>
      <c r="O49" s="47">
        <f t="shared" si="0"/>
        <v>7505.95</v>
      </c>
      <c r="P49" s="9">
        <v>826.38</v>
      </c>
      <c r="Q49" s="9">
        <v>570.88</v>
      </c>
      <c r="R49" s="9">
        <v>54.33</v>
      </c>
      <c r="S49" s="9">
        <v>144.4</v>
      </c>
      <c r="T49" s="9">
        <f>SUM(P49:Q49:R49:S49)</f>
        <v>1595.99</v>
      </c>
      <c r="U49" s="47">
        <f t="shared" si="1"/>
        <v>5909.96</v>
      </c>
    </row>
    <row r="50" spans="1:21" x14ac:dyDescent="0.25">
      <c r="A50" s="6" t="s">
        <v>61</v>
      </c>
      <c r="B50" s="7" t="s">
        <v>88</v>
      </c>
      <c r="C50" s="7" t="s">
        <v>93</v>
      </c>
      <c r="D50" s="19">
        <v>9395.69</v>
      </c>
      <c r="E50" s="9"/>
      <c r="F50" s="9"/>
      <c r="G50" s="9"/>
      <c r="H50" s="9">
        <v>570</v>
      </c>
      <c r="I50" s="9"/>
      <c r="J50" s="9">
        <v>155.80000000000001</v>
      </c>
      <c r="K50" s="28">
        <f>SUM(H50:I50:J50)</f>
        <v>725.8</v>
      </c>
      <c r="L50" s="9"/>
      <c r="M50" s="9"/>
      <c r="N50" s="9"/>
      <c r="O50" s="47">
        <f t="shared" si="0"/>
        <v>10121.49</v>
      </c>
      <c r="P50" s="9">
        <v>1557.46</v>
      </c>
      <c r="Q50" s="9">
        <v>570.88</v>
      </c>
      <c r="R50" s="9"/>
      <c r="S50" s="9">
        <v>155.80000000000001</v>
      </c>
      <c r="T50" s="9">
        <f>SUM(P50:Q50:R50:S50)</f>
        <v>2284.1400000000003</v>
      </c>
      <c r="U50" s="47">
        <f t="shared" si="1"/>
        <v>7837.3499999999995</v>
      </c>
    </row>
    <row r="51" spans="1:21" x14ac:dyDescent="0.25">
      <c r="A51" s="7" t="s">
        <v>62</v>
      </c>
      <c r="B51" s="7" t="s">
        <v>83</v>
      </c>
      <c r="C51" s="7" t="s">
        <v>94</v>
      </c>
      <c r="D51" s="19">
        <v>3517.98</v>
      </c>
      <c r="E51" s="9"/>
      <c r="F51" s="9"/>
      <c r="G51" s="9"/>
      <c r="H51" s="9">
        <v>570</v>
      </c>
      <c r="I51" s="9"/>
      <c r="J51" s="9">
        <v>380</v>
      </c>
      <c r="K51" s="28">
        <f>SUM(H51:I51:J51)</f>
        <v>950</v>
      </c>
      <c r="L51" s="9"/>
      <c r="M51" s="9"/>
      <c r="N51" s="9"/>
      <c r="O51" s="47">
        <f t="shared" si="0"/>
        <v>4467.9799999999996</v>
      </c>
      <c r="P51" s="9">
        <v>114.22</v>
      </c>
      <c r="Q51" s="9">
        <v>386.46</v>
      </c>
      <c r="R51" s="9">
        <v>39.869999999999997</v>
      </c>
      <c r="S51" s="9">
        <v>133.68</v>
      </c>
      <c r="T51" s="9">
        <f>SUM(P51:Q51:R51:S51)</f>
        <v>674.23</v>
      </c>
      <c r="U51" s="47">
        <f t="shared" si="1"/>
        <v>3793.7499999999995</v>
      </c>
    </row>
    <row r="52" spans="1:21" x14ac:dyDescent="0.25">
      <c r="A52" s="7" t="s">
        <v>63</v>
      </c>
      <c r="B52" s="7" t="s">
        <v>89</v>
      </c>
      <c r="C52" s="7" t="s">
        <v>98</v>
      </c>
      <c r="D52" s="19">
        <v>4527.7</v>
      </c>
      <c r="E52" s="9">
        <v>2263.85</v>
      </c>
      <c r="F52" s="9"/>
      <c r="G52" s="9"/>
      <c r="H52" s="9">
        <v>390</v>
      </c>
      <c r="I52" s="9"/>
      <c r="J52" s="9">
        <v>106.6</v>
      </c>
      <c r="K52" s="28">
        <f>SUM(H52:I52:J52)</f>
        <v>496.6</v>
      </c>
      <c r="L52" s="9">
        <v>754.62</v>
      </c>
      <c r="M52" s="9"/>
      <c r="N52" s="9"/>
      <c r="O52" s="47">
        <f t="shared" si="0"/>
        <v>8042.7699999999995</v>
      </c>
      <c r="P52" s="9">
        <v>328.86</v>
      </c>
      <c r="Q52" s="9">
        <v>570.88</v>
      </c>
      <c r="R52" s="9"/>
      <c r="S52" s="9">
        <v>106.6</v>
      </c>
      <c r="T52" s="9">
        <f>SUM(P52:Q52:R52:S52)</f>
        <v>1006.34</v>
      </c>
      <c r="U52" s="47">
        <f t="shared" si="1"/>
        <v>7036.4299999999994</v>
      </c>
    </row>
    <row r="53" spans="1:21" x14ac:dyDescent="0.25">
      <c r="A53" s="13" t="s">
        <v>129</v>
      </c>
      <c r="B53" s="15" t="s">
        <v>72</v>
      </c>
      <c r="C53" s="7" t="s">
        <v>106</v>
      </c>
      <c r="D53" s="19">
        <v>1308.92</v>
      </c>
      <c r="E53" s="9"/>
      <c r="F53" s="9"/>
      <c r="G53" s="9"/>
      <c r="H53" s="9">
        <v>570</v>
      </c>
      <c r="I53" s="9"/>
      <c r="J53" s="43">
        <v>247</v>
      </c>
      <c r="K53" s="28">
        <f>SUM(H53:I53:J53)</f>
        <v>817</v>
      </c>
      <c r="L53" s="9"/>
      <c r="M53" s="9"/>
      <c r="N53" s="9"/>
      <c r="O53" s="47">
        <f t="shared" si="0"/>
        <v>2125.92</v>
      </c>
      <c r="P53" s="9"/>
      <c r="Q53" s="9"/>
      <c r="R53" s="9"/>
      <c r="S53" s="9"/>
      <c r="T53" s="9">
        <f>SUM(P53:Q53:R53:S53)</f>
        <v>0</v>
      </c>
      <c r="U53" s="47">
        <f t="shared" si="1"/>
        <v>2125.92</v>
      </c>
    </row>
    <row r="54" spans="1:21" x14ac:dyDescent="0.25">
      <c r="A54" s="6" t="s">
        <v>64</v>
      </c>
      <c r="B54" s="7" t="s">
        <v>68</v>
      </c>
      <c r="C54" s="7" t="s">
        <v>96</v>
      </c>
      <c r="D54" s="19">
        <v>3517.98</v>
      </c>
      <c r="E54" s="9"/>
      <c r="F54" s="9"/>
      <c r="G54" s="9"/>
      <c r="H54" s="9">
        <v>570</v>
      </c>
      <c r="I54" s="9"/>
      <c r="J54" s="43"/>
      <c r="K54" s="28">
        <f>SUM(H54:I54:J54)</f>
        <v>570</v>
      </c>
      <c r="L54" s="9"/>
      <c r="M54" s="9"/>
      <c r="N54" s="9"/>
      <c r="O54" s="47">
        <f t="shared" si="0"/>
        <v>4087.98</v>
      </c>
      <c r="P54" s="9">
        <v>96.96</v>
      </c>
      <c r="Q54" s="9">
        <v>372.24</v>
      </c>
      <c r="R54" s="9">
        <v>144.97999999999999</v>
      </c>
      <c r="S54" s="9"/>
      <c r="T54" s="9">
        <f>SUM(P54:Q54:R54:S54)</f>
        <v>614.17999999999995</v>
      </c>
      <c r="U54" s="47">
        <f t="shared" si="1"/>
        <v>3473.8</v>
      </c>
    </row>
    <row r="55" spans="1:21" x14ac:dyDescent="0.25">
      <c r="A55" s="7" t="s">
        <v>65</v>
      </c>
      <c r="B55" s="7" t="s">
        <v>90</v>
      </c>
      <c r="C55" s="7" t="s">
        <v>100</v>
      </c>
      <c r="D55" s="19">
        <v>6791.55</v>
      </c>
      <c r="E55" s="9"/>
      <c r="F55" s="9"/>
      <c r="G55" s="9"/>
      <c r="H55" s="9">
        <v>570</v>
      </c>
      <c r="I55" s="9"/>
      <c r="J55" s="9"/>
      <c r="K55" s="28">
        <f>SUM(H55:I55:J55)</f>
        <v>570</v>
      </c>
      <c r="L55" s="9"/>
      <c r="M55" s="9"/>
      <c r="N55" s="9"/>
      <c r="O55" s="47">
        <f t="shared" si="0"/>
        <v>7361.55</v>
      </c>
      <c r="P55" s="9">
        <v>841.32</v>
      </c>
      <c r="Q55" s="9">
        <v>570.88</v>
      </c>
      <c r="R55" s="9"/>
      <c r="S55" s="9"/>
      <c r="T55" s="9">
        <f>SUM(P55:Q55:R55:S55)</f>
        <v>1412.2</v>
      </c>
      <c r="U55" s="47">
        <f t="shared" si="1"/>
        <v>5949.35</v>
      </c>
    </row>
    <row r="56" spans="1:21" x14ac:dyDescent="0.25">
      <c r="A56" s="6" t="s">
        <v>66</v>
      </c>
      <c r="B56" s="7" t="s">
        <v>72</v>
      </c>
      <c r="C56" s="7" t="s">
        <v>102</v>
      </c>
      <c r="D56" s="19">
        <v>1308.92</v>
      </c>
      <c r="E56" s="9"/>
      <c r="F56" s="9"/>
      <c r="G56" s="9"/>
      <c r="H56" s="9">
        <v>570</v>
      </c>
      <c r="I56" s="9"/>
      <c r="J56" s="9">
        <v>247</v>
      </c>
      <c r="K56" s="28">
        <f>SUM(H56:I56:J56)</f>
        <v>817</v>
      </c>
      <c r="L56" s="9"/>
      <c r="M56" s="9"/>
      <c r="N56" s="9"/>
      <c r="O56" s="47">
        <f t="shared" si="0"/>
        <v>2125.92</v>
      </c>
      <c r="P56" s="9"/>
      <c r="Q56" s="9"/>
      <c r="R56" s="9"/>
      <c r="S56" s="9"/>
      <c r="T56" s="9">
        <f>SUM(P56:Q56:R56:S56)</f>
        <v>0</v>
      </c>
      <c r="U56" s="47">
        <f t="shared" si="1"/>
        <v>2125.92</v>
      </c>
    </row>
    <row r="57" spans="1:21" x14ac:dyDescent="0.25">
      <c r="A57" s="7" t="s">
        <v>67</v>
      </c>
      <c r="B57" s="7" t="s">
        <v>91</v>
      </c>
      <c r="C57" s="7" t="s">
        <v>95</v>
      </c>
      <c r="D57" s="19">
        <v>6576.98</v>
      </c>
      <c r="E57" s="9">
        <v>4697.8500000000004</v>
      </c>
      <c r="F57" s="9"/>
      <c r="G57" s="9"/>
      <c r="H57" s="9">
        <v>450</v>
      </c>
      <c r="I57" s="9"/>
      <c r="J57" s="9"/>
      <c r="K57" s="28">
        <f>SUM(H57:I57:J57)</f>
        <v>450</v>
      </c>
      <c r="L57" s="9">
        <v>1565.95</v>
      </c>
      <c r="M57" s="9"/>
      <c r="N57" s="9"/>
      <c r="O57" s="47">
        <f t="shared" si="0"/>
        <v>13290.78</v>
      </c>
      <c r="P57" s="9">
        <v>782.32</v>
      </c>
      <c r="Q57" s="9">
        <v>570.88</v>
      </c>
      <c r="R57" s="9"/>
      <c r="S57" s="9"/>
      <c r="T57" s="9">
        <f>SUM(P57:Q57:R57:S57)</f>
        <v>1353.2</v>
      </c>
      <c r="U57" s="47">
        <f t="shared" si="1"/>
        <v>11937.58</v>
      </c>
    </row>
    <row r="58" spans="1:21" x14ac:dyDescent="0.25">
      <c r="A58" s="2"/>
      <c r="B58" s="2"/>
      <c r="C58" s="2"/>
      <c r="D58" s="2"/>
      <c r="E58" s="2"/>
      <c r="F58" s="2"/>
      <c r="G58" s="2"/>
      <c r="H58" s="27">
        <f>SUM(H5:H57)</f>
        <v>26580</v>
      </c>
      <c r="I58" s="27">
        <f>SUM(I5:I57)</f>
        <v>500</v>
      </c>
      <c r="J58" s="27">
        <f>SUM(J5:J57)</f>
        <v>7813.7800000000016</v>
      </c>
      <c r="K58" s="1"/>
      <c r="L58" s="2"/>
      <c r="M58" s="2"/>
      <c r="N58" s="2"/>
      <c r="O58" s="3"/>
      <c r="P58" s="2"/>
      <c r="Q58" s="2"/>
      <c r="R58" s="2"/>
      <c r="S58" s="2"/>
      <c r="T58" s="2"/>
      <c r="U58" s="44">
        <f>SUM(U5:U57)</f>
        <v>286265.44</v>
      </c>
    </row>
    <row r="59" spans="1:21" ht="19.5" x14ac:dyDescent="0.3">
      <c r="A59" s="21" t="s">
        <v>108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2"/>
      <c r="T59" s="2"/>
      <c r="U59" s="2"/>
    </row>
    <row r="60" spans="1:21" ht="15.75" x14ac:dyDescent="0.25">
      <c r="A60" s="32" t="s">
        <v>0</v>
      </c>
      <c r="B60" s="32" t="s">
        <v>1</v>
      </c>
      <c r="C60" s="32" t="s">
        <v>2</v>
      </c>
      <c r="D60" s="32" t="s">
        <v>111</v>
      </c>
      <c r="E60" s="32" t="s">
        <v>110</v>
      </c>
      <c r="F60" s="32" t="s">
        <v>11</v>
      </c>
      <c r="G60" s="32" t="s">
        <v>12</v>
      </c>
      <c r="H60" s="32" t="s">
        <v>109</v>
      </c>
      <c r="I60" s="2"/>
      <c r="J60" s="2"/>
      <c r="K60" s="2"/>
      <c r="L60" s="2"/>
      <c r="M60" s="3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48" t="s">
        <v>42</v>
      </c>
      <c r="B61" s="48" t="s">
        <v>69</v>
      </c>
      <c r="C61" s="48" t="s">
        <v>100</v>
      </c>
      <c r="D61" s="49">
        <v>1758.99</v>
      </c>
      <c r="E61" s="48"/>
      <c r="F61" s="48">
        <v>33.67</v>
      </c>
      <c r="G61" s="48">
        <v>290.82</v>
      </c>
      <c r="H61" s="49">
        <f>D61+E61-F61-G61</f>
        <v>1434.5</v>
      </c>
    </row>
    <row r="62" spans="1:21" x14ac:dyDescent="0.25">
      <c r="A62" s="48" t="s">
        <v>31</v>
      </c>
      <c r="B62" s="48" t="s">
        <v>77</v>
      </c>
      <c r="C62" s="48" t="s">
        <v>106</v>
      </c>
      <c r="D62" s="49">
        <v>4023.06</v>
      </c>
      <c r="E62" s="48"/>
      <c r="F62" s="48"/>
      <c r="G62" s="48"/>
      <c r="H62" s="49">
        <f t="shared" ref="H62:H63" si="2">D62+E62-F62-G62</f>
        <v>4023.06</v>
      </c>
    </row>
    <row r="63" spans="1:21" x14ac:dyDescent="0.25">
      <c r="A63" s="48" t="s">
        <v>67</v>
      </c>
      <c r="B63" s="48" t="s">
        <v>91</v>
      </c>
      <c r="C63" s="48" t="s">
        <v>95</v>
      </c>
      <c r="D63" s="49">
        <v>4697.8500000000004</v>
      </c>
      <c r="E63" s="48"/>
      <c r="F63" s="48">
        <v>304.62</v>
      </c>
      <c r="G63" s="48">
        <v>516.76</v>
      </c>
      <c r="H63" s="49">
        <f t="shared" si="2"/>
        <v>3876.4700000000003</v>
      </c>
    </row>
  </sheetData>
  <autoFilter ref="A4:U63"/>
  <pageMargins left="0.51181102362204722" right="0.51181102362204722" top="0.78740157480314965" bottom="0.78740157480314965" header="0.31496062992125984" footer="0.31496062992125984"/>
  <pageSetup paperSize="9" scale="3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10"/>
  <sheetViews>
    <sheetView topLeftCell="D1" zoomScaleNormal="100" workbookViewId="0">
      <selection activeCell="L3" sqref="L3"/>
    </sheetView>
  </sheetViews>
  <sheetFormatPr defaultRowHeight="15" x14ac:dyDescent="0.25"/>
  <cols>
    <col min="1" max="1" width="46.28515625" customWidth="1"/>
    <col min="2" max="2" width="30.28515625" customWidth="1"/>
    <col min="3" max="3" width="29.85546875" customWidth="1"/>
    <col min="4" max="4" width="17.42578125" customWidth="1"/>
    <col min="5" max="5" width="16.85546875" customWidth="1"/>
    <col min="6" max="6" width="15" customWidth="1"/>
    <col min="7" max="7" width="14.5703125" customWidth="1"/>
    <col min="8" max="8" width="15.42578125" customWidth="1"/>
    <col min="9" max="9" width="16.28515625" customWidth="1"/>
    <col min="10" max="10" width="15.7109375" customWidth="1"/>
    <col min="11" max="11" width="17.5703125" customWidth="1"/>
    <col min="12" max="13" width="18.5703125" customWidth="1"/>
    <col min="14" max="14" width="18.140625" customWidth="1"/>
    <col min="15" max="15" width="18" customWidth="1"/>
    <col min="16" max="16" width="17.7109375" customWidth="1"/>
    <col min="17" max="17" width="16" customWidth="1"/>
    <col min="18" max="18" width="17.42578125" customWidth="1"/>
    <col min="19" max="19" width="16" customWidth="1"/>
    <col min="20" max="20" width="14.5703125" customWidth="1"/>
    <col min="21" max="21" width="16.42578125" customWidth="1"/>
  </cols>
  <sheetData>
    <row r="1" spans="1:21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 x14ac:dyDescent="0.3">
      <c r="A2" s="45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1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600</v>
      </c>
      <c r="I5" s="9"/>
      <c r="J5" s="9">
        <v>400</v>
      </c>
      <c r="K5" s="28">
        <f>SUM(H5:I5:J5)</f>
        <v>1000</v>
      </c>
      <c r="L5" s="9"/>
      <c r="M5" s="9"/>
      <c r="N5" s="9"/>
      <c r="O5" s="47">
        <f t="shared" ref="O5:O36" si="0">SUM(D5+E5+F5+G5+K5+L5+M5+N5)</f>
        <v>4517.9799999999996</v>
      </c>
      <c r="P5" s="9">
        <v>113.64</v>
      </c>
      <c r="Q5" s="9">
        <v>385.98</v>
      </c>
      <c r="R5" s="9">
        <v>55.27</v>
      </c>
      <c r="S5" s="9">
        <v>140.72</v>
      </c>
      <c r="T5" s="9">
        <f>SUM(P5:Q5:R5:S5)</f>
        <v>695.61</v>
      </c>
      <c r="U5" s="47">
        <f t="shared" ref="U5:U55" si="1">SUM(O5-T5)</f>
        <v>3822.3699999999994</v>
      </c>
    </row>
    <row r="6" spans="1:21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>
        <f>13.19+2.2</f>
        <v>15.39</v>
      </c>
      <c r="H6" s="9">
        <v>600</v>
      </c>
      <c r="I6" s="9">
        <v>250</v>
      </c>
      <c r="J6" s="9"/>
      <c r="K6" s="28">
        <f>SUM(H6:I6:J6)</f>
        <v>850</v>
      </c>
      <c r="L6" s="9"/>
      <c r="M6" s="9"/>
      <c r="N6" s="9"/>
      <c r="O6" s="47">
        <f t="shared" si="0"/>
        <v>4383.37</v>
      </c>
      <c r="P6" s="9">
        <v>64.61</v>
      </c>
      <c r="Q6" s="9">
        <v>388.67</v>
      </c>
      <c r="R6" s="9"/>
      <c r="S6" s="9"/>
      <c r="T6" s="9">
        <f>SUM(P6:Q6:R6:S6)</f>
        <v>453.28000000000003</v>
      </c>
      <c r="U6" s="47">
        <f t="shared" si="1"/>
        <v>3930.0899999999997</v>
      </c>
    </row>
    <row r="7" spans="1:21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600</v>
      </c>
      <c r="I7" s="9"/>
      <c r="J7" s="9"/>
      <c r="K7" s="28">
        <f>SUM(H7:I7:J7)</f>
        <v>600</v>
      </c>
      <c r="L7" s="9"/>
      <c r="M7" s="9"/>
      <c r="N7" s="9"/>
      <c r="O7" s="47">
        <f t="shared" si="0"/>
        <v>12939.48</v>
      </c>
      <c r="P7" s="9">
        <v>2314.87</v>
      </c>
      <c r="Q7" s="9">
        <v>570.88</v>
      </c>
      <c r="R7" s="9"/>
      <c r="S7" s="9"/>
      <c r="T7" s="9">
        <f>SUM(P7:Q7:R7:S7)</f>
        <v>2885.75</v>
      </c>
      <c r="U7" s="47">
        <f t="shared" si="1"/>
        <v>10053.73</v>
      </c>
    </row>
    <row r="8" spans="1:21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600</v>
      </c>
      <c r="I8" s="9"/>
      <c r="J8" s="9">
        <v>152</v>
      </c>
      <c r="K8" s="28">
        <f>SUM(H8:I8:J8)</f>
        <v>752</v>
      </c>
      <c r="L8" s="9"/>
      <c r="M8" s="9"/>
      <c r="N8" s="9">
        <v>2636.24</v>
      </c>
      <c r="O8" s="47">
        <f t="shared" si="0"/>
        <v>8537.9699999999993</v>
      </c>
      <c r="P8" s="9">
        <v>1010.52</v>
      </c>
      <c r="Q8" s="9">
        <v>570.88</v>
      </c>
      <c r="R8" s="9"/>
      <c r="S8" s="9">
        <v>152</v>
      </c>
      <c r="T8" s="9">
        <f>SUM(P8:Q8:R8:S8)</f>
        <v>1733.4</v>
      </c>
      <c r="U8" s="47">
        <f t="shared" si="1"/>
        <v>6804.57</v>
      </c>
    </row>
    <row r="9" spans="1:21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/>
      <c r="G9" s="9"/>
      <c r="H9" s="9">
        <v>600</v>
      </c>
      <c r="I9" s="9"/>
      <c r="J9" s="9">
        <v>260</v>
      </c>
      <c r="K9" s="28">
        <f>SUM(H9:I9:J9)</f>
        <v>860</v>
      </c>
      <c r="L9" s="9"/>
      <c r="M9" s="9"/>
      <c r="N9" s="9"/>
      <c r="O9" s="47">
        <f t="shared" si="0"/>
        <v>4377.9799999999996</v>
      </c>
      <c r="P9" s="9">
        <v>86.1</v>
      </c>
      <c r="Q9" s="9">
        <v>386.72</v>
      </c>
      <c r="R9" s="9">
        <v>59.53</v>
      </c>
      <c r="S9" s="9">
        <v>140.72</v>
      </c>
      <c r="T9" s="9">
        <f>SUM(P9:Q9:R9:S9)</f>
        <v>673.07</v>
      </c>
      <c r="U9" s="47">
        <f t="shared" si="1"/>
        <v>3704.9099999999994</v>
      </c>
    </row>
    <row r="10" spans="1:21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600</v>
      </c>
      <c r="I10" s="9"/>
      <c r="J10" s="42">
        <v>152</v>
      </c>
      <c r="K10" s="28">
        <f>SUM(H10:I10:J10)</f>
        <v>752</v>
      </c>
      <c r="L10" s="9"/>
      <c r="M10" s="9"/>
      <c r="N10" s="9"/>
      <c r="O10" s="47">
        <f t="shared" si="0"/>
        <v>4269.9799999999996</v>
      </c>
      <c r="P10" s="9">
        <v>111.09</v>
      </c>
      <c r="Q10" s="9">
        <v>383.88</v>
      </c>
      <c r="R10" s="9">
        <v>63.32</v>
      </c>
      <c r="S10" s="9">
        <v>140.72</v>
      </c>
      <c r="T10" s="9">
        <f>SUM(P10:Q10:R10:S10)</f>
        <v>699.0100000000001</v>
      </c>
      <c r="U10" s="47">
        <f t="shared" si="1"/>
        <v>3570.9699999999993</v>
      </c>
    </row>
    <row r="11" spans="1:21" hidden="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600</v>
      </c>
      <c r="I11" s="9"/>
      <c r="J11" s="9">
        <v>316</v>
      </c>
      <c r="K11" s="28">
        <f>SUM(H11:I11:J11)</f>
        <v>916</v>
      </c>
      <c r="L11" s="9"/>
      <c r="M11" s="9"/>
      <c r="N11" s="9"/>
      <c r="O11" s="47">
        <f t="shared" si="0"/>
        <v>2224.92</v>
      </c>
      <c r="P11" s="9"/>
      <c r="Q11" s="9"/>
      <c r="R11" s="9"/>
      <c r="S11" s="9"/>
      <c r="T11" s="9">
        <f>SUM(P11:Q11:R11:S11)</f>
        <v>0</v>
      </c>
      <c r="U11" s="47">
        <f t="shared" si="1"/>
        <v>2224.92</v>
      </c>
    </row>
    <row r="12" spans="1:21" x14ac:dyDescent="0.25">
      <c r="A12" s="7" t="s">
        <v>25</v>
      </c>
      <c r="B12" s="7" t="s">
        <v>73</v>
      </c>
      <c r="C12" s="7" t="s">
        <v>98</v>
      </c>
      <c r="D12" s="19">
        <v>9395.69</v>
      </c>
      <c r="F12" s="9"/>
      <c r="G12" s="9"/>
      <c r="H12" s="9">
        <f>180+420</f>
        <v>600</v>
      </c>
      <c r="I12" s="9"/>
      <c r="J12" s="9"/>
      <c r="K12" s="28">
        <f>SUM(H12:I12:J12)</f>
        <v>600</v>
      </c>
      <c r="L12" s="12"/>
      <c r="M12" s="9"/>
      <c r="N12" s="9"/>
      <c r="O12" s="47">
        <f>SUM(D12+E23+F12+G12+K12+L12+M12+N12)</f>
        <v>14520.17</v>
      </c>
      <c r="P12" s="9">
        <v>1557.46</v>
      </c>
      <c r="Q12" s="9">
        <v>570.88</v>
      </c>
      <c r="R12" s="9"/>
      <c r="S12" s="9"/>
      <c r="T12" s="9">
        <f>SUM(P12:Q12:R12:S12)</f>
        <v>2128.34</v>
      </c>
      <c r="U12" s="47">
        <f t="shared" si="1"/>
        <v>12391.83</v>
      </c>
    </row>
    <row r="13" spans="1:21" x14ac:dyDescent="0.25">
      <c r="A13" s="7" t="s">
        <v>26</v>
      </c>
      <c r="B13" s="7" t="s">
        <v>68</v>
      </c>
      <c r="C13" s="7" t="s">
        <v>96</v>
      </c>
      <c r="D13" s="19">
        <v>3517.98</v>
      </c>
      <c r="E13" s="9"/>
      <c r="F13" s="9"/>
      <c r="G13" s="9"/>
      <c r="H13" s="9">
        <v>600</v>
      </c>
      <c r="I13" s="9"/>
      <c r="J13" s="43">
        <v>316</v>
      </c>
      <c r="K13" s="28">
        <f>SUM(H13:I13:J13)</f>
        <v>916</v>
      </c>
      <c r="L13" s="9"/>
      <c r="M13" s="9"/>
      <c r="N13" s="9"/>
      <c r="O13" s="47">
        <f t="shared" si="0"/>
        <v>4433.9799999999996</v>
      </c>
      <c r="P13" s="9">
        <v>114.85</v>
      </c>
      <c r="Q13" s="9">
        <v>386.98</v>
      </c>
      <c r="R13" s="9"/>
      <c r="S13" s="9">
        <v>140.72</v>
      </c>
      <c r="T13" s="9">
        <f>SUM(P13:Q13:R13:S13)</f>
        <v>642.55000000000007</v>
      </c>
      <c r="U13" s="47">
        <f t="shared" si="1"/>
        <v>3791.4299999999994</v>
      </c>
    </row>
    <row r="14" spans="1:21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420</v>
      </c>
      <c r="I14" s="9"/>
      <c r="J14" s="9">
        <v>114.8</v>
      </c>
      <c r="K14" s="28">
        <f>SUM(H14:I14:J14)</f>
        <v>534.79999999999995</v>
      </c>
      <c r="L14" s="9"/>
      <c r="M14" s="9"/>
      <c r="N14" s="9"/>
      <c r="O14" s="47">
        <f t="shared" si="0"/>
        <v>9930.49</v>
      </c>
      <c r="P14" s="9">
        <v>1557.46</v>
      </c>
      <c r="Q14" s="9">
        <v>570.88</v>
      </c>
      <c r="R14" s="9"/>
      <c r="S14" s="9">
        <v>114.8</v>
      </c>
      <c r="T14" s="9">
        <f>SUM(P14:Q14:R14:S14)</f>
        <v>2243.1400000000003</v>
      </c>
      <c r="U14" s="47">
        <f t="shared" si="1"/>
        <v>7687.3499999999995</v>
      </c>
    </row>
    <row r="15" spans="1:21" hidden="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600</v>
      </c>
      <c r="I15" s="9"/>
      <c r="J15" s="19">
        <v>260</v>
      </c>
      <c r="K15" s="28">
        <f>SUM(H15:I15:J15)</f>
        <v>860</v>
      </c>
      <c r="L15" s="9"/>
      <c r="M15" s="9"/>
      <c r="N15" s="9"/>
      <c r="O15" s="47">
        <f t="shared" si="0"/>
        <v>2168.92</v>
      </c>
      <c r="P15" s="9"/>
      <c r="Q15" s="9"/>
      <c r="R15" s="9"/>
      <c r="S15" s="9"/>
      <c r="T15" s="9">
        <f>SUM(P15:Q15:R15:S15)</f>
        <v>0</v>
      </c>
      <c r="U15" s="47">
        <f t="shared" si="1"/>
        <v>2168.92</v>
      </c>
    </row>
    <row r="16" spans="1:21" x14ac:dyDescent="0.25">
      <c r="A16" s="13" t="s">
        <v>117</v>
      </c>
      <c r="B16" s="15" t="s">
        <v>75</v>
      </c>
      <c r="C16" s="15" t="s">
        <v>95</v>
      </c>
      <c r="D16" s="19">
        <v>0</v>
      </c>
      <c r="E16" s="9"/>
      <c r="F16" s="9"/>
      <c r="G16" s="9"/>
      <c r="H16" s="9"/>
      <c r="I16" s="9"/>
      <c r="J16" s="9"/>
      <c r="K16" s="28">
        <f>SUM(H16:I16:J16)</f>
        <v>0</v>
      </c>
      <c r="L16" s="9"/>
      <c r="M16" s="9"/>
      <c r="N16" s="9">
        <v>5426.21</v>
      </c>
      <c r="O16" s="47">
        <f t="shared" si="0"/>
        <v>5426.21</v>
      </c>
      <c r="P16" s="9">
        <v>570.71</v>
      </c>
      <c r="Q16" s="9"/>
      <c r="R16" s="9"/>
      <c r="S16" s="9"/>
      <c r="T16" s="9">
        <f>SUM(P16:Q16:R16:S16)</f>
        <v>570.71</v>
      </c>
      <c r="U16" s="47">
        <f t="shared" si="1"/>
        <v>4855.5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2345.3200000000002</v>
      </c>
      <c r="E17" s="9"/>
      <c r="F17" s="9"/>
      <c r="G17" s="9"/>
      <c r="H17" s="9">
        <v>600</v>
      </c>
      <c r="I17" s="9"/>
      <c r="J17" s="9">
        <v>316</v>
      </c>
      <c r="K17" s="28">
        <f>SUM(H17:I17:J17)</f>
        <v>916</v>
      </c>
      <c r="L17" s="9"/>
      <c r="M17" s="9"/>
      <c r="N17" s="9"/>
      <c r="O17" s="47">
        <f t="shared" si="0"/>
        <v>3261.32</v>
      </c>
      <c r="P17" s="9">
        <v>11.37</v>
      </c>
      <c r="Q17" s="9">
        <v>289.76</v>
      </c>
      <c r="R17" s="9">
        <v>34.450000000000003</v>
      </c>
      <c r="S17" s="9">
        <v>140.72</v>
      </c>
      <c r="T17" s="9">
        <f>SUM(P17:Q17:R17:S17)</f>
        <v>476.29999999999995</v>
      </c>
      <c r="U17" s="47">
        <f t="shared" si="1"/>
        <v>2785.0200000000004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8046.12</v>
      </c>
      <c r="E18" s="9"/>
      <c r="F18" s="9"/>
      <c r="G18" s="9"/>
      <c r="H18" s="9">
        <v>600</v>
      </c>
      <c r="I18" s="9"/>
      <c r="J18" s="9">
        <v>164</v>
      </c>
      <c r="K18" s="28">
        <f>SUM(H18:I18:J18)</f>
        <v>764</v>
      </c>
      <c r="L18" s="9"/>
      <c r="M18" s="9"/>
      <c r="N18" s="9"/>
      <c r="O18" s="47">
        <f t="shared" si="0"/>
        <v>8810.119999999999</v>
      </c>
      <c r="P18" s="9">
        <v>1186.33</v>
      </c>
      <c r="Q18" s="19">
        <v>570.88</v>
      </c>
      <c r="R18" s="9"/>
      <c r="S18" s="9">
        <v>164</v>
      </c>
      <c r="T18" s="9">
        <f>SUM(P18:Q18:R18:S18)</f>
        <v>1921.21</v>
      </c>
      <c r="U18" s="47">
        <f t="shared" si="1"/>
        <v>6888.9099999999989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600</v>
      </c>
      <c r="I19" s="9"/>
      <c r="J19" s="43"/>
      <c r="K19" s="28">
        <f>SUM(H19:I19:J19)</f>
        <v>600</v>
      </c>
      <c r="L19" s="9"/>
      <c r="M19" s="9"/>
      <c r="N19" s="9"/>
      <c r="O19" s="47">
        <f t="shared" si="0"/>
        <v>8646.119999999999</v>
      </c>
      <c r="P19" s="9">
        <v>1186.33</v>
      </c>
      <c r="Q19" s="9">
        <v>570.88</v>
      </c>
      <c r="R19" s="9">
        <v>22</v>
      </c>
      <c r="S19" s="9"/>
      <c r="T19" s="9">
        <f>SUM(P19:Q19:R19:S19)</f>
        <v>1779.21</v>
      </c>
      <c r="U19" s="47">
        <f t="shared" si="1"/>
        <v>6866.9099999999989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8226.32</v>
      </c>
      <c r="E20" s="9">
        <v>4113.16</v>
      </c>
      <c r="F20" s="9"/>
      <c r="G20" s="9"/>
      <c r="H20" s="9">
        <v>360</v>
      </c>
      <c r="I20" s="9"/>
      <c r="J20" s="9"/>
      <c r="K20" s="28">
        <f>SUM(H20:I20:J20)</f>
        <v>360</v>
      </c>
      <c r="L20" s="9">
        <v>1371.05</v>
      </c>
      <c r="M20" s="9"/>
      <c r="N20" s="9"/>
      <c r="O20" s="47">
        <f t="shared" si="0"/>
        <v>14070.529999999999</v>
      </c>
      <c r="P20" s="9">
        <f>1392.88+481.81</f>
        <v>1874.69</v>
      </c>
      <c r="Q20" s="9">
        <v>570.88</v>
      </c>
      <c r="R20" s="9"/>
      <c r="S20" s="9"/>
      <c r="T20" s="9">
        <f>SUM(P20:Q20:R20:S20)</f>
        <v>2445.5700000000002</v>
      </c>
      <c r="U20" s="47">
        <f t="shared" si="1"/>
        <v>11624.96</v>
      </c>
    </row>
    <row r="21" spans="1:21" hidden="1" x14ac:dyDescent="0.25">
      <c r="A21" s="6" t="s">
        <v>131</v>
      </c>
      <c r="B21" s="7" t="s">
        <v>72</v>
      </c>
      <c r="C21" s="7" t="s">
        <v>98</v>
      </c>
      <c r="D21" s="19">
        <v>1308.92</v>
      </c>
      <c r="E21" s="9"/>
      <c r="F21" s="9"/>
      <c r="G21" s="9"/>
      <c r="H21" s="9">
        <v>600</v>
      </c>
      <c r="I21" s="9"/>
      <c r="J21" s="9">
        <v>260</v>
      </c>
      <c r="K21" s="28">
        <f>SUM(H21:I21:J21)</f>
        <v>860</v>
      </c>
      <c r="L21" s="9"/>
      <c r="M21" s="9"/>
      <c r="N21" s="9"/>
      <c r="O21" s="47">
        <f t="shared" si="0"/>
        <v>2168.92</v>
      </c>
      <c r="P21" s="9"/>
      <c r="Q21" s="9"/>
      <c r="R21" s="9"/>
      <c r="S21" s="9"/>
      <c r="T21" s="9">
        <f>SUM(P21:Q21:R21:S21)</f>
        <v>0</v>
      </c>
      <c r="U21" s="47">
        <f t="shared" si="1"/>
        <v>2168.92</v>
      </c>
    </row>
    <row r="22" spans="1:21" hidden="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600</v>
      </c>
      <c r="I22" s="9"/>
      <c r="J22" s="9">
        <v>164</v>
      </c>
      <c r="K22" s="28">
        <f>SUM(H22:I22:J22)</f>
        <v>764</v>
      </c>
      <c r="L22" s="9"/>
      <c r="M22" s="9"/>
      <c r="N22" s="9"/>
      <c r="O22" s="47">
        <f t="shared" si="0"/>
        <v>2072.92</v>
      </c>
      <c r="P22" s="9"/>
      <c r="Q22" s="9"/>
      <c r="R22" s="9"/>
      <c r="S22" s="9"/>
      <c r="T22" s="9">
        <f>SUM(P22:Q22:R22:S22)</f>
        <v>0</v>
      </c>
      <c r="U22" s="47">
        <f t="shared" si="1"/>
        <v>2072.92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7815</v>
      </c>
      <c r="E23" s="9">
        <v>4524.4799999999996</v>
      </c>
      <c r="F23" s="9"/>
      <c r="G23" s="9"/>
      <c r="H23" s="9">
        <v>360</v>
      </c>
      <c r="I23" s="9"/>
      <c r="J23" s="43">
        <v>156</v>
      </c>
      <c r="K23" s="28">
        <f>SUM(H23:I23:J23)</f>
        <v>516</v>
      </c>
      <c r="L23" s="9">
        <v>1508.15</v>
      </c>
      <c r="M23" s="19"/>
      <c r="N23" s="9"/>
      <c r="O23" s="47">
        <f t="shared" si="0"/>
        <v>14363.63</v>
      </c>
      <c r="P23" s="9">
        <v>1163.6400000000001</v>
      </c>
      <c r="Q23" s="9">
        <f>422.28+148.6</f>
        <v>570.88</v>
      </c>
      <c r="R23" s="9">
        <v>11</v>
      </c>
      <c r="S23" s="9">
        <v>156</v>
      </c>
      <c r="T23" s="9">
        <f>SUM(P23:Q23:R23:S23)</f>
        <v>1901.52</v>
      </c>
      <c r="U23" s="47">
        <f t="shared" si="1"/>
        <v>12462.109999999999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>
        <f>12.75+2.13</f>
        <v>14.879999999999999</v>
      </c>
      <c r="H24" s="9">
        <v>600</v>
      </c>
      <c r="I24" s="9"/>
      <c r="J24" s="9"/>
      <c r="K24" s="28">
        <f>SUM(H24:I24:J24)</f>
        <v>600</v>
      </c>
      <c r="L24" s="9"/>
      <c r="M24" s="9"/>
      <c r="N24" s="9"/>
      <c r="O24" s="47">
        <f t="shared" si="0"/>
        <v>4132.8600000000006</v>
      </c>
      <c r="P24" s="9">
        <v>109.48</v>
      </c>
      <c r="Q24" s="9">
        <v>382.55</v>
      </c>
      <c r="R24" s="9">
        <v>90.3</v>
      </c>
      <c r="S24" s="9"/>
      <c r="T24" s="9">
        <f>SUM(P24:Q24:R24:S24)</f>
        <v>582.33000000000004</v>
      </c>
      <c r="U24" s="47">
        <f t="shared" si="1"/>
        <v>3550.5300000000007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3517.98</v>
      </c>
      <c r="E25" s="9"/>
      <c r="F25" s="9"/>
      <c r="G25" s="9"/>
      <c r="H25" s="9">
        <v>600</v>
      </c>
      <c r="I25" s="9"/>
      <c r="J25" s="9"/>
      <c r="K25" s="28">
        <f>SUM(H25:I25:J25)</f>
        <v>600</v>
      </c>
      <c r="L25" s="9"/>
      <c r="M25" s="9"/>
      <c r="N25" s="9"/>
      <c r="O25" s="47">
        <f t="shared" si="0"/>
        <v>4117.9799999999996</v>
      </c>
      <c r="P25" s="9">
        <v>112.5</v>
      </c>
      <c r="Q25" s="9">
        <v>385.04</v>
      </c>
      <c r="R25" s="9">
        <v>17.59</v>
      </c>
      <c r="S25" s="9"/>
      <c r="T25" s="9">
        <f>SUM(P25:Q25:R25:S25)</f>
        <v>515.13</v>
      </c>
      <c r="U25" s="47">
        <f t="shared" si="1"/>
        <v>3602.8499999999995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/>
      <c r="H26" s="9">
        <v>600</v>
      </c>
      <c r="I26" s="9"/>
      <c r="J26" s="43"/>
      <c r="K26" s="28">
        <f>SUM(H26:I26:J26)</f>
        <v>600</v>
      </c>
      <c r="L26" s="9"/>
      <c r="M26" s="9"/>
      <c r="N26" s="9"/>
      <c r="O26" s="47">
        <f t="shared" si="0"/>
        <v>8646.119999999999</v>
      </c>
      <c r="P26" s="9">
        <v>1186.33</v>
      </c>
      <c r="Q26" s="9">
        <v>570.88</v>
      </c>
      <c r="R26" s="9"/>
      <c r="S26" s="9"/>
      <c r="T26" s="9">
        <f>SUM(P26:Q26:R26:S26)</f>
        <v>1757.21</v>
      </c>
      <c r="U26" s="47">
        <f t="shared" si="1"/>
        <v>6888.9099999999989</v>
      </c>
    </row>
    <row r="27" spans="1:21" hidden="1" x14ac:dyDescent="0.25">
      <c r="A27" s="6" t="s">
        <v>133</v>
      </c>
      <c r="B27" s="17" t="s">
        <v>72</v>
      </c>
      <c r="C27" s="7" t="s">
        <v>106</v>
      </c>
      <c r="D27" s="19">
        <v>1308.92</v>
      </c>
      <c r="E27" s="9"/>
      <c r="F27" s="9"/>
      <c r="G27" s="9"/>
      <c r="H27" s="9">
        <v>600</v>
      </c>
      <c r="I27" s="9"/>
      <c r="J27" s="9">
        <v>260</v>
      </c>
      <c r="K27" s="28">
        <f>SUM(H27:I27:J27)</f>
        <v>860</v>
      </c>
      <c r="L27" s="9"/>
      <c r="M27" s="9"/>
      <c r="N27" s="9"/>
      <c r="O27" s="47">
        <f t="shared" si="0"/>
        <v>2168.92</v>
      </c>
      <c r="P27" s="9"/>
      <c r="Q27" s="9"/>
      <c r="R27" s="9"/>
      <c r="S27" s="9"/>
      <c r="T27" s="9">
        <f>SUM(P27:Q27:R27:S27)</f>
        <v>0</v>
      </c>
      <c r="U27" s="47">
        <f t="shared" si="1"/>
        <v>2168.92</v>
      </c>
    </row>
    <row r="28" spans="1:21" x14ac:dyDescent="0.25">
      <c r="A28" s="6" t="s">
        <v>38</v>
      </c>
      <c r="B28" s="17" t="s">
        <v>81</v>
      </c>
      <c r="C28" s="7" t="s">
        <v>98</v>
      </c>
      <c r="D28" s="19">
        <v>6791.55</v>
      </c>
      <c r="E28" s="9"/>
      <c r="F28" s="9"/>
      <c r="G28" s="9"/>
      <c r="H28" s="9">
        <v>600</v>
      </c>
      <c r="I28" s="9"/>
      <c r="J28" s="9">
        <v>164</v>
      </c>
      <c r="K28" s="28">
        <f>SUM(H28:I28:J28)</f>
        <v>764</v>
      </c>
      <c r="L28" s="9"/>
      <c r="M28" s="9"/>
      <c r="N28" s="9"/>
      <c r="O28" s="47">
        <f t="shared" si="0"/>
        <v>7555.55</v>
      </c>
      <c r="P28" s="9">
        <v>841.32</v>
      </c>
      <c r="Q28" s="9">
        <v>570.88</v>
      </c>
      <c r="R28" s="9"/>
      <c r="S28" s="9">
        <v>164</v>
      </c>
      <c r="T28" s="9">
        <f>SUM(P28:Q28:R28:S28)</f>
        <v>1576.2</v>
      </c>
      <c r="U28" s="47">
        <f t="shared" si="1"/>
        <v>5979.35</v>
      </c>
    </row>
    <row r="29" spans="1:21" x14ac:dyDescent="0.25">
      <c r="A29" s="13" t="s">
        <v>40</v>
      </c>
      <c r="B29" s="15" t="s">
        <v>69</v>
      </c>
      <c r="C29" s="7" t="s">
        <v>100</v>
      </c>
      <c r="D29" s="19">
        <v>3517.98</v>
      </c>
      <c r="E29" s="9"/>
      <c r="F29" s="9"/>
      <c r="G29" s="9">
        <f>58.93+9.82</f>
        <v>68.75</v>
      </c>
      <c r="H29" s="9">
        <v>600</v>
      </c>
      <c r="I29" s="9"/>
      <c r="J29" s="9">
        <v>260</v>
      </c>
      <c r="K29" s="28">
        <f>SUM(H29:I29:J29)</f>
        <v>860</v>
      </c>
      <c r="L29" s="9"/>
      <c r="M29" s="9"/>
      <c r="N29" s="9"/>
      <c r="O29" s="47">
        <f t="shared" si="0"/>
        <v>4446.7299999999996</v>
      </c>
      <c r="P29" s="9">
        <v>124.03</v>
      </c>
      <c r="Q29" s="9">
        <v>394.54</v>
      </c>
      <c r="R29" s="9"/>
      <c r="S29" s="9">
        <v>140.72</v>
      </c>
      <c r="T29" s="9">
        <f>SUM(P29:Q29:R29:S29)</f>
        <v>659.29000000000008</v>
      </c>
      <c r="U29" s="47">
        <f t="shared" si="1"/>
        <v>3787.4399999999996</v>
      </c>
    </row>
    <row r="30" spans="1:21" x14ac:dyDescent="0.25">
      <c r="A30" s="6" t="s">
        <v>41</v>
      </c>
      <c r="B30" s="7" t="s">
        <v>77</v>
      </c>
      <c r="C30" s="7" t="s">
        <v>96</v>
      </c>
      <c r="D30" s="19">
        <v>8046.12</v>
      </c>
      <c r="E30" s="9"/>
      <c r="F30" s="9"/>
      <c r="G30" s="9"/>
      <c r="H30" s="9">
        <v>600</v>
      </c>
      <c r="I30" s="9"/>
      <c r="J30" s="43"/>
      <c r="K30" s="28">
        <f>SUM(H30:I30:J30)</f>
        <v>600</v>
      </c>
      <c r="L30" s="9"/>
      <c r="M30" s="9"/>
      <c r="N30" s="9"/>
      <c r="O30" s="47">
        <f t="shared" si="0"/>
        <v>8646.119999999999</v>
      </c>
      <c r="P30" s="9">
        <v>1186.33</v>
      </c>
      <c r="Q30" s="9">
        <v>570.88</v>
      </c>
      <c r="R30" s="9">
        <v>11</v>
      </c>
      <c r="S30" s="9"/>
      <c r="T30" s="9">
        <f>SUM(P30:Q30:R30:S30)</f>
        <v>1768.21</v>
      </c>
      <c r="U30" s="47">
        <f t="shared" si="1"/>
        <v>6877.9099999999989</v>
      </c>
    </row>
    <row r="31" spans="1:21" x14ac:dyDescent="0.25">
      <c r="A31" s="6" t="s">
        <v>43</v>
      </c>
      <c r="B31" s="7" t="s">
        <v>76</v>
      </c>
      <c r="C31" s="7" t="s">
        <v>97</v>
      </c>
      <c r="D31" s="19">
        <v>4291.26</v>
      </c>
      <c r="E31" s="9">
        <v>3754.86</v>
      </c>
      <c r="F31" s="9"/>
      <c r="G31" s="9">
        <f>1.01+6.34+4.46</f>
        <v>11.809999999999999</v>
      </c>
      <c r="H31" s="9">
        <v>600</v>
      </c>
      <c r="I31" s="9"/>
      <c r="J31" s="9">
        <v>164</v>
      </c>
      <c r="K31" s="28">
        <f>SUM(H31:I31:J31)</f>
        <v>764</v>
      </c>
      <c r="L31" s="9">
        <v>1261.8900000000001</v>
      </c>
      <c r="M31" s="9"/>
      <c r="N31" s="9"/>
      <c r="O31" s="47">
        <f t="shared" si="0"/>
        <v>10083.82</v>
      </c>
      <c r="P31" s="9">
        <f>262.07+374.65</f>
        <v>636.72</v>
      </c>
      <c r="Q31" s="9">
        <f>15.65+555.23</f>
        <v>570.88</v>
      </c>
      <c r="R31" s="9">
        <v>283.63</v>
      </c>
      <c r="S31" s="9">
        <v>164</v>
      </c>
      <c r="T31" s="9">
        <f>SUM(P31:Q31:R31:S31)</f>
        <v>1655.23</v>
      </c>
      <c r="U31" s="47">
        <f t="shared" si="1"/>
        <v>8428.59</v>
      </c>
    </row>
    <row r="32" spans="1:21" x14ac:dyDescent="0.25">
      <c r="A32" s="7" t="s">
        <v>44</v>
      </c>
      <c r="B32" s="7" t="s">
        <v>69</v>
      </c>
      <c r="C32" s="7" t="s">
        <v>100</v>
      </c>
      <c r="D32" s="19">
        <v>2345.3200000000002</v>
      </c>
      <c r="E32" s="9">
        <v>1172.6600000000001</v>
      </c>
      <c r="F32" s="9"/>
      <c r="G32" s="9">
        <f>1.82+21.1+2.54</f>
        <v>25.46</v>
      </c>
      <c r="H32" s="9">
        <v>360</v>
      </c>
      <c r="I32" s="9"/>
      <c r="J32" s="9">
        <v>250.8</v>
      </c>
      <c r="K32" s="28">
        <f>SUM(H32:I32:J32)</f>
        <v>610.79999999999995</v>
      </c>
      <c r="L32" s="9">
        <v>393.37</v>
      </c>
      <c r="M32" s="9"/>
      <c r="N32" s="9"/>
      <c r="O32" s="47">
        <f t="shared" si="0"/>
        <v>4547.6100000000006</v>
      </c>
      <c r="P32" s="9">
        <f>10.74</f>
        <v>10.74</v>
      </c>
      <c r="Q32" s="9">
        <f>288.4+141.61</f>
        <v>430.01</v>
      </c>
      <c r="R32" s="9">
        <f>9.67+11</f>
        <v>20.67</v>
      </c>
      <c r="S32" s="9">
        <v>84.43</v>
      </c>
      <c r="T32" s="9">
        <f>SUM(P32:Q32:R32:S32)</f>
        <v>545.85</v>
      </c>
      <c r="U32" s="47">
        <f t="shared" si="1"/>
        <v>4001.7600000000007</v>
      </c>
    </row>
    <row r="33" spans="1:21" x14ac:dyDescent="0.25">
      <c r="A33" s="7" t="s">
        <v>45</v>
      </c>
      <c r="B33" s="7" t="s">
        <v>82</v>
      </c>
      <c r="C33" s="7" t="s">
        <v>97</v>
      </c>
      <c r="D33" s="19">
        <v>12339.48</v>
      </c>
      <c r="E33" s="9"/>
      <c r="F33" s="9"/>
      <c r="G33" s="9"/>
      <c r="H33" s="9">
        <v>600</v>
      </c>
      <c r="I33" s="9">
        <v>500</v>
      </c>
      <c r="J33" s="9">
        <v>1062.4000000000001</v>
      </c>
      <c r="K33" s="28">
        <f>SUM(H33:I33:J33)</f>
        <v>2162.4</v>
      </c>
      <c r="L33" s="9"/>
      <c r="M33" s="9"/>
      <c r="N33" s="9"/>
      <c r="O33" s="47">
        <f t="shared" si="0"/>
        <v>14501.88</v>
      </c>
      <c r="P33" s="9">
        <v>2367.0100000000002</v>
      </c>
      <c r="Q33" s="9">
        <v>570.88</v>
      </c>
      <c r="R33" s="9"/>
      <c r="S33" s="9">
        <v>493.58</v>
      </c>
      <c r="T33" s="9">
        <f>SUM(P33:Q33:R33:S33)</f>
        <v>3431.4700000000003</v>
      </c>
      <c r="U33" s="47">
        <f t="shared" si="1"/>
        <v>11070.41</v>
      </c>
    </row>
    <row r="34" spans="1:21" x14ac:dyDescent="0.25">
      <c r="A34" s="7" t="s">
        <v>46</v>
      </c>
      <c r="B34" s="7" t="s">
        <v>83</v>
      </c>
      <c r="C34" s="7" t="s">
        <v>94</v>
      </c>
      <c r="D34" s="19">
        <v>3166.18</v>
      </c>
      <c r="E34" s="9">
        <v>351.8</v>
      </c>
      <c r="F34" s="9"/>
      <c r="G34" s="9">
        <f>35.62+5.94+11.96+1.58+8.16</f>
        <v>63.259999999999991</v>
      </c>
      <c r="H34" s="9">
        <v>510</v>
      </c>
      <c r="I34" s="9"/>
      <c r="J34" s="9">
        <v>221</v>
      </c>
      <c r="K34" s="28">
        <f>SUM(H34:I34:J34)</f>
        <v>731</v>
      </c>
      <c r="L34" s="9">
        <v>117.92</v>
      </c>
      <c r="M34" s="9"/>
      <c r="N34" s="9"/>
      <c r="O34" s="47">
        <f t="shared" si="0"/>
        <v>4430.16</v>
      </c>
      <c r="P34" s="9">
        <f>68.08+18.51</f>
        <v>86.59</v>
      </c>
      <c r="Q34" s="9">
        <f>363.42+37.73</f>
        <v>401.15000000000003</v>
      </c>
      <c r="R34" s="9">
        <f>32.54+11</f>
        <v>43.54</v>
      </c>
      <c r="S34" s="9">
        <v>119.61</v>
      </c>
      <c r="T34" s="9">
        <f>SUM(P34:Q34:R34:S34)</f>
        <v>650.89</v>
      </c>
      <c r="U34" s="47">
        <f t="shared" si="1"/>
        <v>3779.27</v>
      </c>
    </row>
    <row r="35" spans="1:21" x14ac:dyDescent="0.25">
      <c r="A35" s="7" t="s">
        <v>47</v>
      </c>
      <c r="B35" s="7" t="s">
        <v>84</v>
      </c>
      <c r="C35" s="7" t="s">
        <v>95</v>
      </c>
      <c r="D35" s="19">
        <v>7815</v>
      </c>
      <c r="E35" s="9">
        <v>4524.4799999999996</v>
      </c>
      <c r="F35" s="9"/>
      <c r="G35" s="9"/>
      <c r="H35" s="9">
        <v>360</v>
      </c>
      <c r="I35" s="9"/>
      <c r="J35" s="9">
        <v>91.2</v>
      </c>
      <c r="K35" s="28">
        <f>SUM(H35:I35:J35)</f>
        <v>451.2</v>
      </c>
      <c r="L35" s="9">
        <v>1508.16</v>
      </c>
      <c r="M35" s="9"/>
      <c r="N35" s="9"/>
      <c r="O35" s="47">
        <f t="shared" si="0"/>
        <v>14298.84</v>
      </c>
      <c r="P35" s="9">
        <v>1122.77</v>
      </c>
      <c r="Q35" s="9">
        <v>570.88</v>
      </c>
      <c r="R35" s="9"/>
      <c r="S35" s="9">
        <v>91.2</v>
      </c>
      <c r="T35" s="9">
        <f>SUM(P35:Q35:R35:S35)</f>
        <v>1784.8500000000001</v>
      </c>
      <c r="U35" s="47">
        <f t="shared" si="1"/>
        <v>12513.99</v>
      </c>
    </row>
    <row r="36" spans="1:21" hidden="1" x14ac:dyDescent="0.25">
      <c r="A36" s="7" t="s">
        <v>119</v>
      </c>
      <c r="B36" s="7" t="s">
        <v>72</v>
      </c>
      <c r="C36" s="7" t="s">
        <v>102</v>
      </c>
      <c r="D36" s="19">
        <v>1308.92</v>
      </c>
      <c r="E36" s="9"/>
      <c r="F36" s="9"/>
      <c r="G36" s="9"/>
      <c r="H36" s="9">
        <v>600</v>
      </c>
      <c r="I36" s="9"/>
      <c r="J36" s="19">
        <v>152</v>
      </c>
      <c r="K36" s="28">
        <f>SUM(H36:I36:J36)</f>
        <v>752</v>
      </c>
      <c r="L36" s="9"/>
      <c r="M36" s="9"/>
      <c r="N36" s="9"/>
      <c r="O36" s="47">
        <f t="shared" si="0"/>
        <v>2060.92</v>
      </c>
      <c r="P36" s="9"/>
      <c r="Q36" s="9"/>
      <c r="R36" s="9"/>
      <c r="S36" s="9"/>
      <c r="T36" s="9">
        <f>SUM(P36:Q36:R36:S36)</f>
        <v>0</v>
      </c>
      <c r="U36" s="47">
        <f t="shared" si="1"/>
        <v>2060.92</v>
      </c>
    </row>
    <row r="37" spans="1:21" x14ac:dyDescent="0.25">
      <c r="A37" s="7" t="s">
        <v>48</v>
      </c>
      <c r="B37" s="7" t="s">
        <v>85</v>
      </c>
      <c r="C37" s="7" t="s">
        <v>102</v>
      </c>
      <c r="D37" s="19">
        <v>9395.69</v>
      </c>
      <c r="E37" s="9"/>
      <c r="F37" s="9"/>
      <c r="G37" s="9"/>
      <c r="H37" s="9">
        <v>600</v>
      </c>
      <c r="I37" s="9"/>
      <c r="J37" s="9"/>
      <c r="K37" s="28">
        <f>SUM(H37:I37:J37)</f>
        <v>600</v>
      </c>
      <c r="L37" s="9"/>
      <c r="M37" s="9"/>
      <c r="N37" s="9"/>
      <c r="O37" s="47">
        <f t="shared" ref="O37:O55" si="2">SUM(D37+E37+F37+G37+K37+L37+M37+N37)</f>
        <v>9995.69</v>
      </c>
      <c r="P37" s="9">
        <v>1557.46</v>
      </c>
      <c r="Q37" s="9">
        <v>570.88</v>
      </c>
      <c r="R37" s="9"/>
      <c r="S37" s="9"/>
      <c r="T37" s="9">
        <f>SUM(P37:Q37:R37:S37)</f>
        <v>2128.34</v>
      </c>
      <c r="U37" s="47">
        <f t="shared" si="1"/>
        <v>7867.35</v>
      </c>
    </row>
    <row r="38" spans="1:21" x14ac:dyDescent="0.25">
      <c r="A38" s="7" t="s">
        <v>49</v>
      </c>
      <c r="B38" s="7" t="s">
        <v>86</v>
      </c>
      <c r="C38" s="7" t="s">
        <v>102</v>
      </c>
      <c r="D38" s="19">
        <v>6791.55</v>
      </c>
      <c r="E38" s="9"/>
      <c r="F38" s="9"/>
      <c r="G38" s="9">
        <f>70.46+11.74</f>
        <v>82.199999999999989</v>
      </c>
      <c r="H38" s="9">
        <v>600</v>
      </c>
      <c r="I38" s="9"/>
      <c r="J38" s="9">
        <v>164</v>
      </c>
      <c r="K38" s="28">
        <f>SUM(H38:I38:J38)</f>
        <v>764</v>
      </c>
      <c r="L38" s="9"/>
      <c r="M38" s="9"/>
      <c r="N38" s="9"/>
      <c r="O38" s="47">
        <f t="shared" si="2"/>
        <v>7637.75</v>
      </c>
      <c r="P38" s="9">
        <v>862.84</v>
      </c>
      <c r="Q38" s="19">
        <v>570.88</v>
      </c>
      <c r="R38" s="9">
        <v>3.96</v>
      </c>
      <c r="S38" s="9">
        <v>164</v>
      </c>
      <c r="T38" s="9">
        <f>SUM(P38:Q38:R38:S38)</f>
        <v>1601.68</v>
      </c>
      <c r="U38" s="47">
        <f t="shared" si="1"/>
        <v>6036.07</v>
      </c>
    </row>
    <row r="39" spans="1:21" x14ac:dyDescent="0.25">
      <c r="A39" s="7" t="s">
        <v>50</v>
      </c>
      <c r="B39" s="7" t="s">
        <v>80</v>
      </c>
      <c r="C39" s="7" t="s">
        <v>101</v>
      </c>
      <c r="D39" s="19">
        <v>3517.98</v>
      </c>
      <c r="E39" s="9"/>
      <c r="F39" s="9"/>
      <c r="G39" s="9"/>
      <c r="H39" s="9">
        <v>600</v>
      </c>
      <c r="I39" s="9"/>
      <c r="J39" s="9">
        <v>202</v>
      </c>
      <c r="K39" s="28">
        <f>SUM(H39:I39:J39)</f>
        <v>802</v>
      </c>
      <c r="L39" s="9"/>
      <c r="M39" s="9"/>
      <c r="N39" s="9"/>
      <c r="O39" s="47">
        <f t="shared" si="2"/>
        <v>4319.9799999999996</v>
      </c>
      <c r="P39" s="9">
        <v>114.62</v>
      </c>
      <c r="Q39" s="9">
        <v>386.78</v>
      </c>
      <c r="R39" s="9">
        <v>12.76</v>
      </c>
      <c r="S39" s="9">
        <v>140.72</v>
      </c>
      <c r="T39" s="9">
        <f>SUM(P39:Q39:R39:S39)</f>
        <v>654.88</v>
      </c>
      <c r="U39" s="47">
        <f t="shared" si="1"/>
        <v>3665.0999999999995</v>
      </c>
    </row>
    <row r="40" spans="1:21" x14ac:dyDescent="0.25">
      <c r="A40" s="6" t="s">
        <v>51</v>
      </c>
      <c r="B40" s="7" t="s">
        <v>68</v>
      </c>
      <c r="C40" s="7" t="s">
        <v>92</v>
      </c>
      <c r="D40" s="19">
        <v>3517.98</v>
      </c>
      <c r="E40" s="9"/>
      <c r="F40" s="9"/>
      <c r="G40" s="9"/>
      <c r="H40" s="9">
        <v>600</v>
      </c>
      <c r="I40" s="9"/>
      <c r="J40" s="9">
        <v>260</v>
      </c>
      <c r="K40" s="28">
        <f>SUM(H40:I40:J40)</f>
        <v>860</v>
      </c>
      <c r="L40" s="12"/>
      <c r="M40" s="9"/>
      <c r="N40" s="9"/>
      <c r="O40" s="47">
        <f t="shared" si="2"/>
        <v>4377.9799999999996</v>
      </c>
      <c r="P40" s="9">
        <v>113.64</v>
      </c>
      <c r="Q40" s="9">
        <v>385.98</v>
      </c>
      <c r="R40" s="9">
        <v>44.27</v>
      </c>
      <c r="S40" s="9">
        <v>140.72</v>
      </c>
      <c r="T40" s="9">
        <f>SUM(P40:Q40:R40:S40)</f>
        <v>684.61</v>
      </c>
      <c r="U40" s="47">
        <f t="shared" si="1"/>
        <v>3693.3699999999994</v>
      </c>
    </row>
    <row r="41" spans="1:21" x14ac:dyDescent="0.25">
      <c r="A41" s="7" t="s">
        <v>53</v>
      </c>
      <c r="B41" s="7" t="s">
        <v>68</v>
      </c>
      <c r="C41" s="7" t="s">
        <v>92</v>
      </c>
      <c r="D41" s="19">
        <v>3517.98</v>
      </c>
      <c r="E41" s="9"/>
      <c r="F41" s="9"/>
      <c r="G41" s="9"/>
      <c r="H41" s="9">
        <v>600</v>
      </c>
      <c r="I41" s="9"/>
      <c r="J41" s="9">
        <v>172.2</v>
      </c>
      <c r="K41" s="28">
        <f>SUM(H41:I41:J41)</f>
        <v>772.2</v>
      </c>
      <c r="L41" s="9"/>
      <c r="M41" s="9"/>
      <c r="N41" s="9"/>
      <c r="O41" s="47">
        <f t="shared" si="2"/>
        <v>4290.18</v>
      </c>
      <c r="P41" s="9">
        <v>114.38</v>
      </c>
      <c r="Q41" s="9">
        <v>386.59</v>
      </c>
      <c r="R41" s="9">
        <v>49.7</v>
      </c>
      <c r="S41" s="9">
        <v>140.72</v>
      </c>
      <c r="T41" s="9">
        <f>SUM(P41:Q41:R41:S41)</f>
        <v>691.39</v>
      </c>
      <c r="U41" s="47">
        <f t="shared" si="1"/>
        <v>3598.7900000000004</v>
      </c>
    </row>
    <row r="42" spans="1:21" x14ac:dyDescent="0.25">
      <c r="A42" s="7" t="s">
        <v>137</v>
      </c>
      <c r="B42" s="7" t="s">
        <v>69</v>
      </c>
      <c r="C42" s="7" t="s">
        <v>100</v>
      </c>
      <c r="D42" s="19">
        <v>3517.98</v>
      </c>
      <c r="E42" s="9"/>
      <c r="F42" s="9"/>
      <c r="G42" s="9"/>
      <c r="H42" s="9">
        <v>750</v>
      </c>
      <c r="I42" s="9"/>
      <c r="J42" s="9">
        <v>325</v>
      </c>
      <c r="K42" s="28">
        <f>SUM(H42:I42:J42)</f>
        <v>1075</v>
      </c>
      <c r="L42" s="9"/>
      <c r="M42" s="9"/>
      <c r="N42" s="9"/>
      <c r="O42" s="47">
        <f t="shared" si="2"/>
        <v>4592.9799999999996</v>
      </c>
      <c r="P42" s="9">
        <v>114.85</v>
      </c>
      <c r="Q42" s="9">
        <v>386.98</v>
      </c>
      <c r="R42" s="9">
        <v>128.27000000000001</v>
      </c>
      <c r="S42" s="9">
        <v>140.72</v>
      </c>
      <c r="T42" s="9">
        <f>SUM(P42:Q42:R42:S42)</f>
        <v>770.82</v>
      </c>
      <c r="U42" s="47">
        <f t="shared" si="1"/>
        <v>3822.1599999999994</v>
      </c>
    </row>
    <row r="43" spans="1:21" x14ac:dyDescent="0.25">
      <c r="A43" s="7" t="s">
        <v>54</v>
      </c>
      <c r="B43" s="7" t="s">
        <v>76</v>
      </c>
      <c r="C43" s="7" t="s">
        <v>97</v>
      </c>
      <c r="D43" s="19">
        <v>8046.12</v>
      </c>
      <c r="E43" s="9"/>
      <c r="F43" s="9"/>
      <c r="G43" s="9">
        <f>50.29+8.38</f>
        <v>58.67</v>
      </c>
      <c r="H43" s="9">
        <v>600</v>
      </c>
      <c r="I43" s="9">
        <v>250</v>
      </c>
      <c r="J43" s="19"/>
      <c r="K43" s="28">
        <f>SUM(H43:I43:J43)</f>
        <v>850</v>
      </c>
      <c r="L43" s="9"/>
      <c r="M43" s="9"/>
      <c r="N43" s="9"/>
      <c r="O43" s="47">
        <f t="shared" si="2"/>
        <v>8954.7900000000009</v>
      </c>
      <c r="P43" s="9">
        <v>1150.33</v>
      </c>
      <c r="Q43" s="9">
        <v>570.88</v>
      </c>
      <c r="R43" s="9"/>
      <c r="S43" s="19"/>
      <c r="T43" s="9">
        <f>SUM(P43:Q43:R43:S43)</f>
        <v>1721.21</v>
      </c>
      <c r="U43" s="47">
        <f t="shared" si="1"/>
        <v>7233.5800000000008</v>
      </c>
    </row>
    <row r="44" spans="1:21" x14ac:dyDescent="0.25">
      <c r="A44" s="6" t="s">
        <v>55</v>
      </c>
      <c r="B44" s="7" t="s">
        <v>76</v>
      </c>
      <c r="C44" s="7" t="s">
        <v>97</v>
      </c>
      <c r="D44" s="19">
        <v>8046.12</v>
      </c>
      <c r="E44" s="9"/>
      <c r="F44" s="9"/>
      <c r="G44" s="9"/>
      <c r="H44" s="9">
        <v>600</v>
      </c>
      <c r="I44" s="9"/>
      <c r="J44" s="9"/>
      <c r="K44" s="28">
        <f>SUM(H44:I44:J44)</f>
        <v>600</v>
      </c>
      <c r="L44" s="9"/>
      <c r="M44" s="9"/>
      <c r="N44" s="9"/>
      <c r="O44" s="47">
        <f t="shared" si="2"/>
        <v>8646.119999999999</v>
      </c>
      <c r="P44" s="9">
        <v>1186.33</v>
      </c>
      <c r="Q44" s="9">
        <v>570.88</v>
      </c>
      <c r="R44" s="9"/>
      <c r="S44" s="9"/>
      <c r="T44" s="9">
        <f>SUM(P44:Q44:R44:S44)</f>
        <v>1757.21</v>
      </c>
      <c r="U44" s="47">
        <f t="shared" si="1"/>
        <v>6888.9099999999989</v>
      </c>
    </row>
    <row r="45" spans="1:21" x14ac:dyDescent="0.25">
      <c r="A45" s="6" t="s">
        <v>57</v>
      </c>
      <c r="B45" s="7" t="s">
        <v>76</v>
      </c>
      <c r="C45" s="7" t="s">
        <v>96</v>
      </c>
      <c r="D45" s="19">
        <v>8046.12</v>
      </c>
      <c r="E45" s="9"/>
      <c r="F45" s="9"/>
      <c r="G45" s="9">
        <f>422.42+70.4</f>
        <v>492.82000000000005</v>
      </c>
      <c r="H45" s="9">
        <v>600</v>
      </c>
      <c r="I45" s="9"/>
      <c r="J45" s="43"/>
      <c r="K45" s="28">
        <f>SUM(H45:I45:J45)</f>
        <v>600</v>
      </c>
      <c r="L45" s="9"/>
      <c r="M45" s="9"/>
      <c r="N45" s="9"/>
      <c r="O45" s="47">
        <f t="shared" si="2"/>
        <v>9138.94</v>
      </c>
      <c r="P45" s="9">
        <v>1321.86</v>
      </c>
      <c r="Q45" s="9">
        <v>570.88</v>
      </c>
      <c r="R45" s="9">
        <v>11</v>
      </c>
      <c r="S45" s="9"/>
      <c r="T45" s="9">
        <f>SUM(P45:Q45:R45:S45)</f>
        <v>1903.7399999999998</v>
      </c>
      <c r="U45" s="47">
        <f t="shared" si="1"/>
        <v>7235.2000000000007</v>
      </c>
    </row>
    <row r="46" spans="1:21" x14ac:dyDescent="0.25">
      <c r="A46" s="6" t="s">
        <v>58</v>
      </c>
      <c r="B46" s="7" t="s">
        <v>68</v>
      </c>
      <c r="C46" s="7" t="s">
        <v>92</v>
      </c>
      <c r="D46" s="19">
        <v>3517.98</v>
      </c>
      <c r="E46" s="9"/>
      <c r="F46" s="9"/>
      <c r="G46" s="9"/>
      <c r="H46" s="9">
        <v>600</v>
      </c>
      <c r="I46" s="9"/>
      <c r="J46" s="9">
        <v>292.8</v>
      </c>
      <c r="K46" s="28">
        <f>SUM(H46:I46:J46)</f>
        <v>892.8</v>
      </c>
      <c r="L46" s="9"/>
      <c r="M46" s="9"/>
      <c r="N46" s="9"/>
      <c r="O46" s="47">
        <f t="shared" si="2"/>
        <v>4410.78</v>
      </c>
      <c r="P46" s="9">
        <v>63.23</v>
      </c>
      <c r="Q46" s="9">
        <v>386.4</v>
      </c>
      <c r="R46" s="9">
        <v>73.459999999999994</v>
      </c>
      <c r="S46" s="9">
        <v>140.72</v>
      </c>
      <c r="T46" s="9">
        <f>SUM(P46:Q46:R46:S46)</f>
        <v>663.81000000000006</v>
      </c>
      <c r="U46" s="47">
        <f t="shared" si="1"/>
        <v>3746.97</v>
      </c>
    </row>
    <row r="47" spans="1:21" x14ac:dyDescent="0.25">
      <c r="A47" s="6" t="s">
        <v>59</v>
      </c>
      <c r="B47" s="7" t="s">
        <v>76</v>
      </c>
      <c r="C47" s="7" t="s">
        <v>96</v>
      </c>
      <c r="D47" s="19">
        <v>8046.12</v>
      </c>
      <c r="E47" s="9"/>
      <c r="F47" s="9"/>
      <c r="G47" s="9"/>
      <c r="H47" s="9">
        <v>600</v>
      </c>
      <c r="I47" s="9"/>
      <c r="J47" s="43">
        <v>164</v>
      </c>
      <c r="K47" s="28">
        <f>SUM(H47:I47:J47)</f>
        <v>764</v>
      </c>
      <c r="L47" s="9"/>
      <c r="M47" s="9"/>
      <c r="N47" s="9">
        <v>2576.02</v>
      </c>
      <c r="O47" s="47">
        <f t="shared" si="2"/>
        <v>11386.14</v>
      </c>
      <c r="P47" s="9">
        <v>1894.74</v>
      </c>
      <c r="Q47" s="9">
        <v>570.88</v>
      </c>
      <c r="R47" s="9"/>
      <c r="S47" s="9">
        <v>148</v>
      </c>
      <c r="T47" s="9">
        <f>SUM(P47:Q47:R47:S47)</f>
        <v>2613.62</v>
      </c>
      <c r="U47" s="47">
        <f t="shared" si="1"/>
        <v>8772.52</v>
      </c>
    </row>
    <row r="48" spans="1:21" x14ac:dyDescent="0.25">
      <c r="A48" s="6" t="s">
        <v>60</v>
      </c>
      <c r="B48" s="7" t="s">
        <v>87</v>
      </c>
      <c r="C48" s="7" t="s">
        <v>94</v>
      </c>
      <c r="D48" s="19">
        <v>6791.55</v>
      </c>
      <c r="E48" s="9"/>
      <c r="F48" s="9"/>
      <c r="G48" s="9">
        <f>87.44+14.57</f>
        <v>102.00999999999999</v>
      </c>
      <c r="H48" s="9">
        <v>600</v>
      </c>
      <c r="I48" s="9"/>
      <c r="J48" s="9">
        <v>152</v>
      </c>
      <c r="K48" s="28">
        <f>SUM(H48:I48:J48)</f>
        <v>752</v>
      </c>
      <c r="L48" s="9"/>
      <c r="M48" s="9"/>
      <c r="N48" s="9"/>
      <c r="O48" s="47">
        <f t="shared" si="2"/>
        <v>7645.56</v>
      </c>
      <c r="P48" s="9">
        <v>846.65</v>
      </c>
      <c r="Q48" s="9">
        <v>570.88</v>
      </c>
      <c r="R48" s="9">
        <v>82.63</v>
      </c>
      <c r="S48" s="9">
        <v>152</v>
      </c>
      <c r="T48" s="9">
        <f>SUM(P48:Q48:R48:S48)</f>
        <v>1652.1599999999999</v>
      </c>
      <c r="U48" s="47">
        <f t="shared" si="1"/>
        <v>5993.4000000000005</v>
      </c>
    </row>
    <row r="49" spans="1:21" x14ac:dyDescent="0.25">
      <c r="A49" s="6" t="s">
        <v>61</v>
      </c>
      <c r="B49" s="7" t="s">
        <v>88</v>
      </c>
      <c r="C49" s="7" t="s">
        <v>93</v>
      </c>
      <c r="D49" s="19">
        <v>9395.69</v>
      </c>
      <c r="E49" s="9"/>
      <c r="F49" s="9"/>
      <c r="G49" s="9"/>
      <c r="H49" s="9">
        <v>600</v>
      </c>
      <c r="I49" s="9"/>
      <c r="J49" s="9">
        <v>164</v>
      </c>
      <c r="K49" s="28">
        <f>SUM(H49:I49:J49)</f>
        <v>764</v>
      </c>
      <c r="L49" s="9"/>
      <c r="M49" s="9"/>
      <c r="N49" s="9"/>
      <c r="O49" s="47">
        <f t="shared" si="2"/>
        <v>10159.69</v>
      </c>
      <c r="P49" s="9">
        <v>1557.46</v>
      </c>
      <c r="Q49" s="9">
        <v>570.88</v>
      </c>
      <c r="R49" s="9"/>
      <c r="S49" s="9">
        <v>164</v>
      </c>
      <c r="T49" s="9">
        <f>SUM(P49:Q49:R49:S49)</f>
        <v>2292.34</v>
      </c>
      <c r="U49" s="47">
        <f t="shared" si="1"/>
        <v>7867.35</v>
      </c>
    </row>
    <row r="50" spans="1:21" x14ac:dyDescent="0.25">
      <c r="A50" s="7" t="s">
        <v>62</v>
      </c>
      <c r="B50" s="7" t="s">
        <v>83</v>
      </c>
      <c r="C50" s="7" t="s">
        <v>94</v>
      </c>
      <c r="D50" s="19">
        <v>3517.98</v>
      </c>
      <c r="E50" s="9"/>
      <c r="F50" s="9"/>
      <c r="G50" s="9">
        <f>19.35+3.23</f>
        <v>22.580000000000002</v>
      </c>
      <c r="H50" s="9">
        <v>600</v>
      </c>
      <c r="I50" s="9"/>
      <c r="J50" s="9">
        <v>400</v>
      </c>
      <c r="K50" s="28">
        <f>SUM(H50:I50:J50)</f>
        <v>1000</v>
      </c>
      <c r="L50" s="9"/>
      <c r="M50" s="9"/>
      <c r="N50" s="9"/>
      <c r="O50" s="47">
        <f t="shared" si="2"/>
        <v>4540.5599999999995</v>
      </c>
      <c r="P50" s="9">
        <v>115.32</v>
      </c>
      <c r="Q50" s="9">
        <v>387.37</v>
      </c>
      <c r="R50" s="9">
        <v>89.42</v>
      </c>
      <c r="S50" s="9">
        <v>140.72</v>
      </c>
      <c r="T50" s="9">
        <f>SUM(P50:Q50:R50:S50)</f>
        <v>732.83</v>
      </c>
      <c r="U50" s="47">
        <f t="shared" si="1"/>
        <v>3807.7299999999996</v>
      </c>
    </row>
    <row r="51" spans="1:21" x14ac:dyDescent="0.25">
      <c r="A51" s="7" t="s">
        <v>63</v>
      </c>
      <c r="B51" s="7" t="s">
        <v>89</v>
      </c>
      <c r="C51" s="7" t="s">
        <v>98</v>
      </c>
      <c r="D51" s="19">
        <v>6791.55</v>
      </c>
      <c r="E51" s="9"/>
      <c r="F51" s="9"/>
      <c r="G51" s="9"/>
      <c r="H51" s="9">
        <v>600</v>
      </c>
      <c r="I51" s="9"/>
      <c r="J51" s="9">
        <v>164</v>
      </c>
      <c r="K51" s="28">
        <f>SUM(H51:I51:J51)</f>
        <v>764</v>
      </c>
      <c r="L51" s="9"/>
      <c r="M51" s="9"/>
      <c r="N51" s="9"/>
      <c r="O51" s="47">
        <f t="shared" si="2"/>
        <v>7555.55</v>
      </c>
      <c r="P51" s="9">
        <v>841.32</v>
      </c>
      <c r="Q51" s="9">
        <v>570.88</v>
      </c>
      <c r="R51" s="9"/>
      <c r="S51" s="9">
        <v>164</v>
      </c>
      <c r="T51" s="9">
        <f>SUM(P51:Q51:R51:S51)</f>
        <v>1576.2</v>
      </c>
      <c r="U51" s="47">
        <f t="shared" si="1"/>
        <v>5979.35</v>
      </c>
    </row>
    <row r="52" spans="1:21" hidden="1" x14ac:dyDescent="0.25">
      <c r="A52" s="13" t="s">
        <v>129</v>
      </c>
      <c r="B52" s="15" t="s">
        <v>72</v>
      </c>
      <c r="C52" s="7" t="s">
        <v>106</v>
      </c>
      <c r="D52" s="19">
        <v>1308.92</v>
      </c>
      <c r="E52" s="9"/>
      <c r="F52" s="9"/>
      <c r="G52" s="9"/>
      <c r="H52" s="9">
        <v>600</v>
      </c>
      <c r="I52" s="9"/>
      <c r="J52" s="43">
        <v>260</v>
      </c>
      <c r="K52" s="28">
        <f>SUM(H52:I52:J52)</f>
        <v>860</v>
      </c>
      <c r="L52" s="9"/>
      <c r="M52" s="9"/>
      <c r="N52" s="9"/>
      <c r="O52" s="47">
        <f t="shared" si="2"/>
        <v>2168.92</v>
      </c>
      <c r="P52" s="9"/>
      <c r="Q52" s="9"/>
      <c r="R52" s="9"/>
      <c r="S52" s="9"/>
      <c r="T52" s="9">
        <f>SUM(P52:Q52:R52:S52)</f>
        <v>0</v>
      </c>
      <c r="U52" s="47">
        <f t="shared" si="1"/>
        <v>2168.92</v>
      </c>
    </row>
    <row r="53" spans="1:21" x14ac:dyDescent="0.25">
      <c r="A53" s="6" t="s">
        <v>64</v>
      </c>
      <c r="B53" s="7" t="s">
        <v>68</v>
      </c>
      <c r="C53" s="7" t="s">
        <v>96</v>
      </c>
      <c r="D53" s="19">
        <v>3517.98</v>
      </c>
      <c r="E53" s="9"/>
      <c r="F53" s="9"/>
      <c r="G53" s="9"/>
      <c r="H53" s="9">
        <v>600</v>
      </c>
      <c r="I53" s="9"/>
      <c r="J53" s="43"/>
      <c r="K53" s="28">
        <f>SUM(H53:I53:J53)</f>
        <v>600</v>
      </c>
      <c r="L53" s="9"/>
      <c r="M53" s="9"/>
      <c r="N53" s="9"/>
      <c r="O53" s="47">
        <f t="shared" si="2"/>
        <v>4117.9799999999996</v>
      </c>
      <c r="P53" s="9">
        <v>114.85</v>
      </c>
      <c r="Q53" s="9">
        <v>386.98</v>
      </c>
      <c r="R53" s="9">
        <v>11</v>
      </c>
      <c r="S53" s="9"/>
      <c r="T53" s="9">
        <f>SUM(P53:Q53:R53:S53)</f>
        <v>512.83000000000004</v>
      </c>
      <c r="U53" s="47">
        <f t="shared" si="1"/>
        <v>3605.1499999999996</v>
      </c>
    </row>
    <row r="54" spans="1:21" x14ac:dyDescent="0.25">
      <c r="A54" s="7" t="s">
        <v>65</v>
      </c>
      <c r="B54" s="7" t="s">
        <v>90</v>
      </c>
      <c r="C54" s="7" t="s">
        <v>100</v>
      </c>
      <c r="D54" s="19">
        <v>6791.55</v>
      </c>
      <c r="E54" s="9"/>
      <c r="F54" s="9"/>
      <c r="G54" s="9"/>
      <c r="H54" s="9">
        <v>600</v>
      </c>
      <c r="I54" s="9"/>
      <c r="J54" s="9"/>
      <c r="K54" s="28">
        <f>SUM(H54:I54:J54)</f>
        <v>600</v>
      </c>
      <c r="L54" s="9"/>
      <c r="M54" s="9"/>
      <c r="N54" s="9">
        <v>1849.31</v>
      </c>
      <c r="O54" s="47">
        <f t="shared" si="2"/>
        <v>9240.86</v>
      </c>
      <c r="P54" s="9">
        <v>1348.95</v>
      </c>
      <c r="Q54" s="9">
        <v>570.88</v>
      </c>
      <c r="R54" s="9">
        <v>3.4</v>
      </c>
      <c r="S54" s="9"/>
      <c r="T54" s="9">
        <f>SUM(P54:Q54:R54:S54)</f>
        <v>1923.23</v>
      </c>
      <c r="U54" s="47">
        <f t="shared" si="1"/>
        <v>7317.630000000001</v>
      </c>
    </row>
    <row r="55" spans="1:21" hidden="1" x14ac:dyDescent="0.25">
      <c r="A55" s="6" t="s">
        <v>66</v>
      </c>
      <c r="B55" s="7" t="s">
        <v>72</v>
      </c>
      <c r="C55" s="7" t="s">
        <v>102</v>
      </c>
      <c r="D55" s="19">
        <v>1308.92</v>
      </c>
      <c r="E55" s="9"/>
      <c r="F55" s="9"/>
      <c r="G55" s="9"/>
      <c r="H55" s="9">
        <v>600</v>
      </c>
      <c r="I55" s="9"/>
      <c r="J55" s="9">
        <v>260</v>
      </c>
      <c r="K55" s="28">
        <f>SUM(H55:I55:J55)</f>
        <v>860</v>
      </c>
      <c r="L55" s="9"/>
      <c r="M55" s="9"/>
      <c r="N55" s="9"/>
      <c r="O55" s="47">
        <f t="shared" si="2"/>
        <v>2168.92</v>
      </c>
      <c r="P55" s="9"/>
      <c r="Q55" s="9"/>
      <c r="R55" s="9"/>
      <c r="S55" s="9"/>
      <c r="T55" s="9">
        <f>SUM(P55:Q55:R55:S55)</f>
        <v>0</v>
      </c>
      <c r="U55" s="47">
        <f t="shared" si="1"/>
        <v>2168.92</v>
      </c>
    </row>
    <row r="56" spans="1:21" x14ac:dyDescent="0.25">
      <c r="A56" s="2"/>
      <c r="B56" s="2"/>
      <c r="C56" s="2"/>
      <c r="D56" s="2"/>
      <c r="E56" s="2"/>
      <c r="F56" s="2"/>
      <c r="G56" s="2"/>
      <c r="H56" s="27">
        <f>SUM(H5:H55)</f>
        <v>28920</v>
      </c>
      <c r="I56" s="27">
        <f>SUM(I5:I55)</f>
        <v>1000</v>
      </c>
      <c r="J56" s="27">
        <f>SUM(J5:J55)</f>
        <v>8636.2000000000007</v>
      </c>
      <c r="K56" s="1"/>
      <c r="L56" s="2"/>
      <c r="M56" s="2"/>
      <c r="N56" s="2"/>
      <c r="O56" s="3"/>
      <c r="P56" s="2"/>
      <c r="Q56" s="2"/>
      <c r="R56" s="2"/>
      <c r="S56" s="2"/>
      <c r="T56" s="2"/>
      <c r="U56" s="44">
        <f>SUM(U5:U55)</f>
        <v>286055.66000000003</v>
      </c>
    </row>
    <row r="57" spans="1:21" x14ac:dyDescent="0.25"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2"/>
      <c r="U57" s="2"/>
    </row>
    <row r="58" spans="1:21" ht="19.5" x14ac:dyDescent="0.3">
      <c r="A58" s="21" t="s">
        <v>108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</row>
    <row r="59" spans="1:21" ht="15.75" x14ac:dyDescent="0.25">
      <c r="A59" s="32" t="s">
        <v>0</v>
      </c>
      <c r="B59" s="32" t="s">
        <v>1</v>
      </c>
      <c r="C59" s="32" t="s">
        <v>2</v>
      </c>
      <c r="D59" s="32" t="s">
        <v>111</v>
      </c>
      <c r="E59" s="32" t="s">
        <v>110</v>
      </c>
      <c r="F59" s="32" t="s">
        <v>11</v>
      </c>
      <c r="G59" s="32" t="s">
        <v>12</v>
      </c>
      <c r="H59" s="32" t="s">
        <v>109</v>
      </c>
    </row>
    <row r="60" spans="1:21" x14ac:dyDescent="0.25">
      <c r="A60" s="6" t="s">
        <v>17</v>
      </c>
      <c r="B60" s="7" t="s">
        <v>68</v>
      </c>
      <c r="C60" s="7" t="s">
        <v>92</v>
      </c>
      <c r="D60" s="51">
        <v>1763.35</v>
      </c>
      <c r="E60" s="51"/>
      <c r="F60" s="51"/>
      <c r="G60" s="51"/>
      <c r="H60" s="51"/>
    </row>
    <row r="61" spans="1:21" x14ac:dyDescent="0.25">
      <c r="A61" s="6" t="s">
        <v>18</v>
      </c>
      <c r="B61" s="7" t="s">
        <v>69</v>
      </c>
      <c r="C61" s="7" t="s">
        <v>93</v>
      </c>
      <c r="D61" s="51">
        <v>1777.97</v>
      </c>
      <c r="E61" s="51"/>
      <c r="F61" s="51"/>
      <c r="G61" s="51"/>
      <c r="H61" s="51"/>
    </row>
    <row r="62" spans="1:21" x14ac:dyDescent="0.25">
      <c r="A62" s="10" t="s">
        <v>19</v>
      </c>
      <c r="B62" s="11" t="s">
        <v>70</v>
      </c>
      <c r="C62" s="11" t="s">
        <v>94</v>
      </c>
      <c r="D62" s="51">
        <v>552.24</v>
      </c>
      <c r="E62" s="51"/>
      <c r="F62" s="51"/>
      <c r="G62" s="51"/>
      <c r="H62" s="51"/>
    </row>
    <row r="63" spans="1:21" x14ac:dyDescent="0.25">
      <c r="A63" s="10" t="s">
        <v>20</v>
      </c>
      <c r="B63" s="11" t="s">
        <v>71</v>
      </c>
      <c r="C63" s="11" t="s">
        <v>95</v>
      </c>
      <c r="D63" s="51"/>
      <c r="E63" s="51"/>
      <c r="F63" s="51"/>
      <c r="G63" s="51"/>
      <c r="H63" s="51"/>
    </row>
    <row r="64" spans="1:21" x14ac:dyDescent="0.25">
      <c r="A64" s="7" t="s">
        <v>22</v>
      </c>
      <c r="B64" s="7" t="s">
        <v>68</v>
      </c>
      <c r="C64" s="7" t="s">
        <v>92</v>
      </c>
      <c r="D64" s="51">
        <v>1765.05</v>
      </c>
      <c r="E64" s="51"/>
      <c r="F64" s="51"/>
      <c r="G64" s="51"/>
      <c r="H64" s="51"/>
    </row>
    <row r="65" spans="1:8" x14ac:dyDescent="0.25">
      <c r="A65" s="6" t="s">
        <v>23</v>
      </c>
      <c r="B65" s="7" t="s">
        <v>68</v>
      </c>
      <c r="C65" s="7" t="s">
        <v>96</v>
      </c>
      <c r="D65" s="51">
        <v>157.44</v>
      </c>
      <c r="E65" s="51"/>
      <c r="F65" s="51"/>
      <c r="G65" s="51"/>
      <c r="H65" s="51"/>
    </row>
    <row r="66" spans="1:8" x14ac:dyDescent="0.25">
      <c r="A66" s="7" t="s">
        <v>25</v>
      </c>
      <c r="B66" s="7" t="s">
        <v>73</v>
      </c>
      <c r="C66" s="7" t="s">
        <v>98</v>
      </c>
      <c r="D66" s="51">
        <v>4697.8500000000004</v>
      </c>
      <c r="E66" s="51"/>
      <c r="F66" s="51"/>
      <c r="G66" s="51"/>
      <c r="H66" s="51"/>
    </row>
    <row r="67" spans="1:8" x14ac:dyDescent="0.25">
      <c r="A67" s="7" t="s">
        <v>26</v>
      </c>
      <c r="B67" s="7" t="s">
        <v>68</v>
      </c>
      <c r="C67" s="7" t="s">
        <v>96</v>
      </c>
      <c r="D67" s="51">
        <v>1468.07</v>
      </c>
      <c r="E67" s="51"/>
      <c r="F67" s="51"/>
      <c r="G67" s="51"/>
      <c r="H67" s="51"/>
    </row>
    <row r="68" spans="1:8" x14ac:dyDescent="0.25">
      <c r="A68" s="13" t="s">
        <v>27</v>
      </c>
      <c r="B68" s="14" t="s">
        <v>74</v>
      </c>
      <c r="C68" s="14" t="s">
        <v>99</v>
      </c>
      <c r="D68" s="51">
        <v>4697.8500000000004</v>
      </c>
      <c r="E68" s="51"/>
      <c r="F68" s="51"/>
      <c r="G68" s="51"/>
      <c r="H68" s="51"/>
    </row>
    <row r="69" spans="1:8" x14ac:dyDescent="0.25">
      <c r="A69" s="13" t="s">
        <v>117</v>
      </c>
      <c r="B69" s="15" t="s">
        <v>75</v>
      </c>
      <c r="C69" s="15" t="s">
        <v>95</v>
      </c>
      <c r="D69" s="51">
        <v>2713.11</v>
      </c>
      <c r="E69" s="51"/>
      <c r="F69" s="51"/>
      <c r="G69" s="51"/>
      <c r="H69" s="51"/>
    </row>
    <row r="70" spans="1:8" x14ac:dyDescent="0.25">
      <c r="A70" s="6" t="s">
        <v>29</v>
      </c>
      <c r="B70" s="7" t="s">
        <v>68</v>
      </c>
      <c r="C70" s="7" t="s">
        <v>92</v>
      </c>
      <c r="D70" s="51"/>
      <c r="E70" s="51"/>
      <c r="F70" s="51"/>
      <c r="G70" s="51"/>
      <c r="H70" s="51"/>
    </row>
    <row r="71" spans="1:8" x14ac:dyDescent="0.25">
      <c r="A71" s="6" t="s">
        <v>30</v>
      </c>
      <c r="B71" s="7" t="s">
        <v>76</v>
      </c>
      <c r="C71" s="7" t="s">
        <v>97</v>
      </c>
      <c r="D71" s="51">
        <v>4036.68</v>
      </c>
      <c r="E71" s="51"/>
      <c r="F71" s="51"/>
      <c r="G71" s="51"/>
      <c r="H71" s="51"/>
    </row>
    <row r="72" spans="1:8" x14ac:dyDescent="0.25">
      <c r="A72" s="6" t="s">
        <v>31</v>
      </c>
      <c r="B72" s="7" t="s">
        <v>77</v>
      </c>
      <c r="C72" s="7" t="s">
        <v>96</v>
      </c>
      <c r="D72" s="51"/>
      <c r="E72" s="51"/>
      <c r="F72" s="51"/>
      <c r="G72" s="51"/>
      <c r="H72" s="51"/>
    </row>
    <row r="73" spans="1:8" x14ac:dyDescent="0.25">
      <c r="A73" s="6" t="s">
        <v>32</v>
      </c>
      <c r="B73" s="7" t="s">
        <v>78</v>
      </c>
      <c r="C73" s="7" t="s">
        <v>100</v>
      </c>
      <c r="D73" s="51">
        <v>6169.74</v>
      </c>
      <c r="E73" s="51"/>
      <c r="F73" s="51"/>
      <c r="G73" s="51"/>
      <c r="H73" s="51"/>
    </row>
    <row r="74" spans="1:8" x14ac:dyDescent="0.25">
      <c r="A74" s="6" t="s">
        <v>34</v>
      </c>
      <c r="B74" s="16" t="s">
        <v>79</v>
      </c>
      <c r="C74" s="7" t="s">
        <v>96</v>
      </c>
      <c r="D74" s="51">
        <v>6169.74</v>
      </c>
      <c r="E74" s="51"/>
      <c r="F74" s="51"/>
      <c r="G74" s="51"/>
      <c r="H74" s="51"/>
    </row>
    <row r="75" spans="1:8" x14ac:dyDescent="0.25">
      <c r="A75" s="6" t="s">
        <v>35</v>
      </c>
      <c r="B75" s="7" t="s">
        <v>80</v>
      </c>
      <c r="C75" s="7" t="s">
        <v>101</v>
      </c>
      <c r="D75" s="51">
        <v>1795.54</v>
      </c>
      <c r="E75" s="51"/>
      <c r="F75" s="51"/>
      <c r="G75" s="51"/>
      <c r="H75" s="51"/>
    </row>
    <row r="76" spans="1:8" x14ac:dyDescent="0.25">
      <c r="A76" s="6" t="s">
        <v>36</v>
      </c>
      <c r="B76" s="7" t="s">
        <v>68</v>
      </c>
      <c r="C76" s="7" t="s">
        <v>92</v>
      </c>
      <c r="D76" s="51"/>
      <c r="E76" s="51"/>
      <c r="F76" s="51"/>
      <c r="G76" s="51"/>
      <c r="H76" s="51"/>
    </row>
    <row r="77" spans="1:8" x14ac:dyDescent="0.25">
      <c r="A77" s="6" t="s">
        <v>37</v>
      </c>
      <c r="B77" s="7" t="s">
        <v>77</v>
      </c>
      <c r="C77" s="7" t="s">
        <v>96</v>
      </c>
      <c r="D77" s="51">
        <v>4031.86</v>
      </c>
      <c r="E77" s="51"/>
      <c r="F77" s="51"/>
      <c r="G77" s="51"/>
      <c r="H77" s="51"/>
    </row>
    <row r="78" spans="1:8" x14ac:dyDescent="0.25">
      <c r="A78" s="6" t="s">
        <v>38</v>
      </c>
      <c r="B78" s="17" t="s">
        <v>81</v>
      </c>
      <c r="C78" s="7" t="s">
        <v>98</v>
      </c>
      <c r="D78" s="51"/>
      <c r="E78" s="51"/>
      <c r="F78" s="51"/>
      <c r="G78" s="51"/>
      <c r="H78" s="51"/>
    </row>
    <row r="79" spans="1:8" x14ac:dyDescent="0.25">
      <c r="A79" s="13" t="s">
        <v>40</v>
      </c>
      <c r="B79" s="15" t="s">
        <v>69</v>
      </c>
      <c r="C79" s="7" t="s">
        <v>100</v>
      </c>
      <c r="D79" s="51">
        <v>1758.99</v>
      </c>
      <c r="E79" s="51"/>
      <c r="F79" s="51"/>
      <c r="G79" s="51"/>
      <c r="H79" s="51"/>
    </row>
    <row r="80" spans="1:8" x14ac:dyDescent="0.25">
      <c r="A80" s="6" t="s">
        <v>41</v>
      </c>
      <c r="B80" s="7" t="s">
        <v>77</v>
      </c>
      <c r="C80" s="7" t="s">
        <v>96</v>
      </c>
      <c r="D80" s="51">
        <v>364.78</v>
      </c>
      <c r="E80" s="51"/>
      <c r="F80" s="51"/>
      <c r="G80" s="51"/>
      <c r="H80" s="51"/>
    </row>
    <row r="81" spans="1:8" x14ac:dyDescent="0.25">
      <c r="A81" s="6" t="s">
        <v>43</v>
      </c>
      <c r="B81" s="7" t="s">
        <v>76</v>
      </c>
      <c r="C81" s="7" t="s">
        <v>97</v>
      </c>
      <c r="D81" s="51">
        <v>335.44</v>
      </c>
      <c r="E81" s="51"/>
      <c r="F81" s="51"/>
      <c r="G81" s="51"/>
      <c r="H81" s="51"/>
    </row>
    <row r="82" spans="1:8" x14ac:dyDescent="0.25">
      <c r="A82" s="7" t="s">
        <v>44</v>
      </c>
      <c r="B82" s="7" t="s">
        <v>69</v>
      </c>
      <c r="C82" s="7" t="s">
        <v>100</v>
      </c>
      <c r="D82" s="51"/>
      <c r="E82" s="51"/>
      <c r="F82" s="51"/>
      <c r="G82" s="51"/>
      <c r="H82" s="51"/>
    </row>
    <row r="83" spans="1:8" x14ac:dyDescent="0.25">
      <c r="A83" s="7" t="s">
        <v>45</v>
      </c>
      <c r="B83" s="7" t="s">
        <v>82</v>
      </c>
      <c r="C83" s="7" t="s">
        <v>97</v>
      </c>
      <c r="D83" s="51">
        <v>6169.74</v>
      </c>
      <c r="E83" s="51"/>
      <c r="F83" s="51"/>
      <c r="G83" s="51"/>
      <c r="H83" s="51"/>
    </row>
    <row r="84" spans="1:8" x14ac:dyDescent="0.25">
      <c r="A84" s="7" t="s">
        <v>46</v>
      </c>
      <c r="B84" s="7" t="s">
        <v>83</v>
      </c>
      <c r="C84" s="7" t="s">
        <v>94</v>
      </c>
      <c r="D84" s="51"/>
      <c r="E84" s="51"/>
      <c r="F84" s="51"/>
      <c r="G84" s="51"/>
      <c r="H84" s="51"/>
    </row>
    <row r="85" spans="1:8" x14ac:dyDescent="0.25">
      <c r="A85" s="7" t="s">
        <v>47</v>
      </c>
      <c r="B85" s="7" t="s">
        <v>84</v>
      </c>
      <c r="C85" s="7" t="s">
        <v>95</v>
      </c>
      <c r="D85" s="51">
        <v>6169.74</v>
      </c>
      <c r="E85" s="51"/>
      <c r="F85" s="51"/>
      <c r="G85" s="51"/>
      <c r="H85" s="51"/>
    </row>
    <row r="86" spans="1:8" x14ac:dyDescent="0.25">
      <c r="A86" s="7" t="s">
        <v>48</v>
      </c>
      <c r="B86" s="7" t="s">
        <v>85</v>
      </c>
      <c r="C86" s="7" t="s">
        <v>102</v>
      </c>
      <c r="D86" s="51">
        <v>4697.8500000000004</v>
      </c>
      <c r="E86" s="51"/>
      <c r="F86" s="51"/>
      <c r="G86" s="51"/>
      <c r="H86" s="51"/>
    </row>
    <row r="87" spans="1:8" x14ac:dyDescent="0.25">
      <c r="A87" s="7" t="s">
        <v>49</v>
      </c>
      <c r="B87" s="7" t="s">
        <v>86</v>
      </c>
      <c r="C87" s="7" t="s">
        <v>102</v>
      </c>
      <c r="D87" s="51">
        <v>3510.17</v>
      </c>
      <c r="E87" s="51"/>
      <c r="F87" s="51"/>
      <c r="G87" s="51"/>
      <c r="H87" s="51"/>
    </row>
    <row r="88" spans="1:8" x14ac:dyDescent="0.25">
      <c r="A88" s="7" t="s">
        <v>50</v>
      </c>
      <c r="B88" s="7" t="s">
        <v>80</v>
      </c>
      <c r="C88" s="7" t="s">
        <v>101</v>
      </c>
      <c r="D88" s="51">
        <v>1801.41</v>
      </c>
      <c r="E88" s="51"/>
      <c r="F88" s="51"/>
      <c r="G88" s="51"/>
      <c r="H88" s="51"/>
    </row>
    <row r="89" spans="1:8" x14ac:dyDescent="0.25">
      <c r="A89" s="6" t="s">
        <v>51</v>
      </c>
      <c r="B89" s="7" t="s">
        <v>68</v>
      </c>
      <c r="C89" s="7" t="s">
        <v>92</v>
      </c>
      <c r="D89" s="51">
        <v>163.11000000000001</v>
      </c>
      <c r="E89" s="51"/>
      <c r="F89" s="51"/>
      <c r="G89" s="51"/>
      <c r="H89" s="51"/>
    </row>
    <row r="90" spans="1:8" x14ac:dyDescent="0.25">
      <c r="A90" s="7" t="s">
        <v>53</v>
      </c>
      <c r="B90" s="7" t="s">
        <v>68</v>
      </c>
      <c r="C90" s="7" t="s">
        <v>92</v>
      </c>
      <c r="D90" s="51">
        <v>39.85</v>
      </c>
      <c r="E90" s="51"/>
      <c r="F90" s="51"/>
      <c r="G90" s="51"/>
      <c r="H90" s="51"/>
    </row>
    <row r="91" spans="1:8" x14ac:dyDescent="0.25">
      <c r="A91" s="7" t="s">
        <v>137</v>
      </c>
      <c r="B91" s="7" t="s">
        <v>69</v>
      </c>
      <c r="C91" s="7" t="s">
        <v>100</v>
      </c>
      <c r="D91" s="51">
        <v>293.17</v>
      </c>
      <c r="E91" s="51"/>
      <c r="F91" s="51"/>
      <c r="G91" s="51"/>
      <c r="H91" s="51"/>
    </row>
    <row r="92" spans="1:8" x14ac:dyDescent="0.25">
      <c r="A92" s="7" t="s">
        <v>54</v>
      </c>
      <c r="B92" s="7" t="s">
        <v>76</v>
      </c>
      <c r="C92" s="7" t="s">
        <v>97</v>
      </c>
      <c r="D92" s="51">
        <v>2691.7</v>
      </c>
      <c r="E92" s="51"/>
      <c r="F92" s="51"/>
      <c r="G92" s="51"/>
      <c r="H92" s="51"/>
    </row>
    <row r="93" spans="1:8" x14ac:dyDescent="0.25">
      <c r="A93" s="6" t="s">
        <v>55</v>
      </c>
      <c r="B93" s="7" t="s">
        <v>76</v>
      </c>
      <c r="C93" s="7" t="s">
        <v>97</v>
      </c>
      <c r="D93" s="51">
        <v>4037.9</v>
      </c>
      <c r="E93" s="51"/>
      <c r="F93" s="51"/>
      <c r="G93" s="51"/>
      <c r="H93" s="51"/>
    </row>
    <row r="94" spans="1:8" x14ac:dyDescent="0.25">
      <c r="A94" s="6" t="s">
        <v>57</v>
      </c>
      <c r="B94" s="7" t="s">
        <v>76</v>
      </c>
      <c r="C94" s="7" t="s">
        <v>96</v>
      </c>
      <c r="D94" s="51">
        <v>4052.69</v>
      </c>
      <c r="E94" s="51"/>
      <c r="F94" s="51"/>
      <c r="G94" s="51"/>
      <c r="H94" s="51"/>
    </row>
    <row r="95" spans="1:8" x14ac:dyDescent="0.25">
      <c r="A95" s="6" t="s">
        <v>58</v>
      </c>
      <c r="B95" s="7" t="s">
        <v>68</v>
      </c>
      <c r="C95" s="7" t="s">
        <v>92</v>
      </c>
      <c r="D95" s="51">
        <v>1766.5</v>
      </c>
      <c r="E95" s="51"/>
      <c r="F95" s="51"/>
      <c r="G95" s="51"/>
      <c r="H95" s="51"/>
    </row>
    <row r="96" spans="1:8" x14ac:dyDescent="0.25">
      <c r="A96" s="6" t="s">
        <v>59</v>
      </c>
      <c r="B96" s="7" t="s">
        <v>76</v>
      </c>
      <c r="C96" s="7" t="s">
        <v>96</v>
      </c>
      <c r="D96" s="51">
        <v>4036.68</v>
      </c>
      <c r="E96" s="51"/>
      <c r="F96" s="51"/>
      <c r="G96" s="51"/>
      <c r="H96" s="51"/>
    </row>
    <row r="97" spans="1:8" x14ac:dyDescent="0.25">
      <c r="A97" s="6" t="s">
        <v>60</v>
      </c>
      <c r="B97" s="7" t="s">
        <v>87</v>
      </c>
      <c r="C97" s="7" t="s">
        <v>94</v>
      </c>
      <c r="D97" s="51">
        <v>293.92</v>
      </c>
      <c r="E97" s="51"/>
      <c r="F97" s="51"/>
      <c r="G97" s="51"/>
      <c r="H97" s="51"/>
    </row>
    <row r="98" spans="1:8" x14ac:dyDescent="0.25">
      <c r="A98" s="6" t="s">
        <v>61</v>
      </c>
      <c r="B98" s="7" t="s">
        <v>88</v>
      </c>
      <c r="C98" s="7" t="s">
        <v>93</v>
      </c>
      <c r="D98" s="51">
        <v>445.16</v>
      </c>
      <c r="E98" s="51"/>
      <c r="F98" s="51"/>
      <c r="G98" s="51"/>
      <c r="H98" s="51"/>
    </row>
    <row r="99" spans="1:8" x14ac:dyDescent="0.25">
      <c r="A99" s="7" t="s">
        <v>62</v>
      </c>
      <c r="B99" s="7" t="s">
        <v>83</v>
      </c>
      <c r="C99" s="7" t="s">
        <v>94</v>
      </c>
      <c r="D99" s="51">
        <v>157.44</v>
      </c>
      <c r="E99" s="51"/>
      <c r="F99" s="51"/>
      <c r="G99" s="51"/>
      <c r="H99" s="51"/>
    </row>
    <row r="100" spans="1:8" x14ac:dyDescent="0.25">
      <c r="A100" s="7" t="s">
        <v>63</v>
      </c>
      <c r="B100" s="7" t="s">
        <v>89</v>
      </c>
      <c r="C100" s="7" t="s">
        <v>98</v>
      </c>
      <c r="D100" s="51">
        <v>3395.78</v>
      </c>
      <c r="E100" s="51"/>
      <c r="F100" s="51"/>
      <c r="G100" s="51"/>
      <c r="H100" s="51"/>
    </row>
    <row r="101" spans="1:8" x14ac:dyDescent="0.25">
      <c r="A101" s="6" t="s">
        <v>64</v>
      </c>
      <c r="B101" s="7" t="s">
        <v>68</v>
      </c>
      <c r="C101" s="7" t="s">
        <v>96</v>
      </c>
      <c r="D101" s="51">
        <v>1762.5</v>
      </c>
      <c r="E101" s="51"/>
      <c r="F101" s="51"/>
      <c r="G101" s="51"/>
      <c r="H101" s="51"/>
    </row>
    <row r="102" spans="1:8" ht="15.75" thickBot="1" x14ac:dyDescent="0.3">
      <c r="A102" s="7" t="s">
        <v>65</v>
      </c>
      <c r="B102" s="7" t="s">
        <v>90</v>
      </c>
      <c r="C102" s="7" t="s">
        <v>100</v>
      </c>
      <c r="D102" s="60"/>
      <c r="E102" s="51"/>
      <c r="F102" s="51"/>
      <c r="G102" s="51"/>
      <c r="H102" s="51"/>
    </row>
    <row r="103" spans="1:8" ht="15.75" thickBot="1" x14ac:dyDescent="0.3">
      <c r="A103" s="52"/>
      <c r="B103" s="37"/>
      <c r="C103" s="37"/>
      <c r="D103" s="61">
        <f>SUM(D60:D102)</f>
        <v>89741.00999999998</v>
      </c>
    </row>
    <row r="104" spans="1:8" x14ac:dyDescent="0.25">
      <c r="A104" s="37"/>
      <c r="B104" s="37"/>
      <c r="C104" s="37"/>
    </row>
    <row r="105" spans="1:8" x14ac:dyDescent="0.25">
      <c r="A105" s="37"/>
      <c r="B105" s="37"/>
      <c r="C105" s="37"/>
    </row>
    <row r="106" spans="1:8" x14ac:dyDescent="0.25">
      <c r="A106" s="53"/>
      <c r="B106" s="54"/>
      <c r="C106" s="37"/>
    </row>
    <row r="107" spans="1:8" x14ac:dyDescent="0.25">
      <c r="A107" s="52"/>
      <c r="B107" s="37"/>
      <c r="C107" s="37"/>
    </row>
    <row r="108" spans="1:8" x14ac:dyDescent="0.25">
      <c r="A108" s="37"/>
      <c r="B108" s="37"/>
      <c r="C108" s="37"/>
    </row>
    <row r="109" spans="1:8" x14ac:dyDescent="0.25">
      <c r="A109" s="52"/>
      <c r="B109" s="37"/>
      <c r="C109" s="37"/>
    </row>
    <row r="110" spans="1:8" x14ac:dyDescent="0.25">
      <c r="A110" s="46"/>
      <c r="B110" s="46"/>
      <c r="C110" s="46"/>
    </row>
  </sheetData>
  <autoFilter ref="A4:U109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</filters>
    </filterColumn>
  </autoFilter>
  <pageMargins left="0.51181102362204722" right="0.51181102362204722" top="0.78740157480314965" bottom="0.78740157480314965" header="0.31496062992125984" footer="0.31496062992125984"/>
  <pageSetup paperSize="9" scale="33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02"/>
  <sheetViews>
    <sheetView tabSelected="1" zoomScaleNormal="100" workbookViewId="0">
      <selection activeCell="G32" sqref="G32"/>
    </sheetView>
  </sheetViews>
  <sheetFormatPr defaultRowHeight="15" x14ac:dyDescent="0.25"/>
  <cols>
    <col min="1" max="1" width="46.28515625" customWidth="1"/>
    <col min="2" max="2" width="30.28515625" customWidth="1"/>
    <col min="3" max="3" width="29.85546875" customWidth="1"/>
    <col min="4" max="4" width="17.42578125" customWidth="1"/>
    <col min="5" max="5" width="16.85546875" customWidth="1"/>
    <col min="6" max="6" width="15" customWidth="1"/>
    <col min="7" max="7" width="14.5703125" customWidth="1"/>
    <col min="8" max="8" width="15.42578125" customWidth="1"/>
    <col min="9" max="9" width="16.28515625" customWidth="1"/>
    <col min="10" max="10" width="15.7109375" customWidth="1"/>
    <col min="11" max="11" width="17.5703125" customWidth="1"/>
    <col min="12" max="13" width="18.5703125" customWidth="1"/>
    <col min="14" max="14" width="18.140625" customWidth="1"/>
    <col min="15" max="15" width="18" customWidth="1"/>
    <col min="16" max="16" width="17.7109375" customWidth="1"/>
    <col min="17" max="17" width="16" customWidth="1"/>
    <col min="18" max="18" width="17.42578125" customWidth="1"/>
    <col min="19" max="19" width="16" customWidth="1"/>
    <col min="20" max="20" width="14.5703125" customWidth="1"/>
    <col min="21" max="21" width="16.42578125" customWidth="1"/>
  </cols>
  <sheetData>
    <row r="1" spans="1:21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 x14ac:dyDescent="0.3">
      <c r="A2" s="45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1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660</v>
      </c>
      <c r="I5" s="9"/>
      <c r="J5" s="9">
        <v>440</v>
      </c>
      <c r="K5" s="28">
        <f>SUM(H5:I5:J5)</f>
        <v>1100</v>
      </c>
      <c r="L5" s="9"/>
      <c r="M5" s="9"/>
      <c r="N5" s="9"/>
      <c r="O5" s="47">
        <f t="shared" ref="O5:O55" si="0">SUM(D5+E5+F5+G5+K5+L5+M5+N5)</f>
        <v>4617.9799999999996</v>
      </c>
      <c r="P5" s="9">
        <v>114.85</v>
      </c>
      <c r="Q5" s="9">
        <v>386.98</v>
      </c>
      <c r="R5" s="9">
        <f>11+35.18</f>
        <v>46.18</v>
      </c>
      <c r="S5" s="9">
        <v>154.79</v>
      </c>
      <c r="T5" s="9">
        <f>SUM(P5:Q5:R5:S5)</f>
        <v>702.8</v>
      </c>
      <c r="U5" s="47">
        <f t="shared" ref="U5:U55" si="1">SUM(O5-T5)</f>
        <v>3915.1799999999994</v>
      </c>
    </row>
    <row r="6" spans="1:21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>
        <f>20.23+3.37</f>
        <v>23.6</v>
      </c>
      <c r="H6" s="9">
        <v>660</v>
      </c>
      <c r="I6" s="9">
        <v>250</v>
      </c>
      <c r="J6" s="9"/>
      <c r="K6" s="28">
        <f>SUM(H6:I6:J6)</f>
        <v>910</v>
      </c>
      <c r="L6" s="9"/>
      <c r="M6" s="9"/>
      <c r="N6" s="9"/>
      <c r="O6" s="47">
        <f t="shared" si="0"/>
        <v>4451.58</v>
      </c>
      <c r="P6" s="9">
        <v>65.16</v>
      </c>
      <c r="Q6" s="9">
        <v>389.57</v>
      </c>
      <c r="R6" s="9"/>
      <c r="S6" s="9"/>
      <c r="T6" s="9">
        <f>SUM(P6:Q6:R6:S6)</f>
        <v>454.73</v>
      </c>
      <c r="U6" s="47">
        <f t="shared" si="1"/>
        <v>3996.85</v>
      </c>
    </row>
    <row r="7" spans="1:21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660</v>
      </c>
      <c r="I7" s="9"/>
      <c r="J7" s="9"/>
      <c r="K7" s="28">
        <f>SUM(H7:I7:J7)</f>
        <v>660</v>
      </c>
      <c r="L7" s="9"/>
      <c r="M7" s="9"/>
      <c r="N7" s="9"/>
      <c r="O7" s="47">
        <f t="shared" si="0"/>
        <v>12999.48</v>
      </c>
      <c r="P7" s="9">
        <v>2314.87</v>
      </c>
      <c r="Q7" s="9">
        <v>570.88</v>
      </c>
      <c r="R7" s="9"/>
      <c r="S7" s="9"/>
      <c r="T7" s="9">
        <f>SUM(P7:Q7:R7:S7)</f>
        <v>2885.75</v>
      </c>
      <c r="U7" s="47">
        <f t="shared" si="1"/>
        <v>10113.73</v>
      </c>
    </row>
    <row r="8" spans="1:21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660</v>
      </c>
      <c r="I8" s="9"/>
      <c r="J8" s="9">
        <v>167.2</v>
      </c>
      <c r="K8" s="28">
        <f>SUM(H8:I8:J8)</f>
        <v>827.2</v>
      </c>
      <c r="L8" s="9"/>
      <c r="M8" s="9"/>
      <c r="N8" s="9"/>
      <c r="O8" s="47">
        <f t="shared" si="0"/>
        <v>5976.9299999999994</v>
      </c>
      <c r="P8" s="9">
        <v>309.79000000000002</v>
      </c>
      <c r="Q8" s="9">
        <v>566.47</v>
      </c>
      <c r="R8" s="9"/>
      <c r="S8" s="9">
        <v>167.2</v>
      </c>
      <c r="T8" s="9">
        <f>SUM(P8:Q8:R8:S8)</f>
        <v>1043.46</v>
      </c>
      <c r="U8" s="47">
        <f t="shared" si="1"/>
        <v>4933.4699999999993</v>
      </c>
    </row>
    <row r="9" spans="1:21" x14ac:dyDescent="0.25">
      <c r="A9" s="7" t="s">
        <v>22</v>
      </c>
      <c r="B9" s="7" t="s">
        <v>68</v>
      </c>
      <c r="C9" s="7" t="s">
        <v>92</v>
      </c>
      <c r="D9" s="19">
        <v>351.8</v>
      </c>
      <c r="E9" s="9">
        <v>3166.18</v>
      </c>
      <c r="F9" s="9"/>
      <c r="G9" s="9">
        <f>20.98+2.38</f>
        <v>23.36</v>
      </c>
      <c r="H9" s="9">
        <v>60</v>
      </c>
      <c r="I9" s="9"/>
      <c r="J9" s="9">
        <v>26</v>
      </c>
      <c r="K9" s="28">
        <f>SUM(H9:I9:J9)</f>
        <v>86</v>
      </c>
      <c r="L9" s="9">
        <v>1060.81</v>
      </c>
      <c r="M9" s="9"/>
      <c r="N9" s="9"/>
      <c r="O9" s="47">
        <f t="shared" si="0"/>
        <v>4688.1499999999996</v>
      </c>
      <c r="P9" s="9">
        <v>268.51</v>
      </c>
      <c r="Q9" s="9">
        <f>38.7+466.76</f>
        <v>505.46</v>
      </c>
      <c r="R9" s="9">
        <f>22+3.52</f>
        <v>25.52</v>
      </c>
      <c r="S9" s="9">
        <v>14.07</v>
      </c>
      <c r="T9" s="9">
        <f>SUM(P9:Q9:R9:S9)</f>
        <v>813.56000000000006</v>
      </c>
      <c r="U9" s="47">
        <f t="shared" si="1"/>
        <v>3874.5899999999997</v>
      </c>
    </row>
    <row r="10" spans="1:21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660</v>
      </c>
      <c r="I10" s="9"/>
      <c r="J10" s="42">
        <v>167.2</v>
      </c>
      <c r="K10" s="28">
        <f>SUM(H10:I10:J10)</f>
        <v>827.2</v>
      </c>
      <c r="L10" s="9"/>
      <c r="M10" s="9"/>
      <c r="N10" s="9"/>
      <c r="O10" s="47">
        <f t="shared" si="0"/>
        <v>4345.18</v>
      </c>
      <c r="P10" s="9">
        <v>114.85</v>
      </c>
      <c r="Q10" s="9">
        <v>386.98</v>
      </c>
      <c r="R10" s="9">
        <v>35.18</v>
      </c>
      <c r="S10" s="9">
        <v>154.79</v>
      </c>
      <c r="T10" s="9">
        <f>SUM(P10:Q10:R10:S10)</f>
        <v>691.8</v>
      </c>
      <c r="U10" s="47">
        <f t="shared" si="1"/>
        <v>3653.38</v>
      </c>
    </row>
    <row r="11" spans="1:21" hidden="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660</v>
      </c>
      <c r="I11" s="9"/>
      <c r="J11" s="9">
        <v>347.6</v>
      </c>
      <c r="K11" s="28">
        <f>SUM(H11:I11:J11)</f>
        <v>1007.6</v>
      </c>
      <c r="L11" s="9"/>
      <c r="M11" s="9"/>
      <c r="N11" s="9"/>
      <c r="O11" s="47">
        <f t="shared" si="0"/>
        <v>2316.52</v>
      </c>
      <c r="P11" s="9"/>
      <c r="Q11" s="9"/>
      <c r="R11" s="9"/>
      <c r="S11" s="9"/>
      <c r="T11" s="9">
        <f>SUM(P11:Q11:R11:S11)</f>
        <v>0</v>
      </c>
      <c r="U11" s="47">
        <f t="shared" si="1"/>
        <v>2316.52</v>
      </c>
    </row>
    <row r="12" spans="1:21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660</v>
      </c>
      <c r="I12" s="9"/>
      <c r="J12" s="9"/>
      <c r="K12" s="28">
        <f>SUM(H12:I12:J12)</f>
        <v>660</v>
      </c>
      <c r="L12" s="12"/>
      <c r="M12" s="9"/>
      <c r="N12" s="9"/>
      <c r="O12" s="47">
        <f t="shared" si="0"/>
        <v>10055.69</v>
      </c>
      <c r="P12" s="9">
        <v>1557.46</v>
      </c>
      <c r="Q12" s="9">
        <v>570.88</v>
      </c>
      <c r="R12" s="9"/>
      <c r="S12" s="9"/>
      <c r="T12" s="9">
        <f>SUM(P12:Q12:R12:S12)</f>
        <v>2128.34</v>
      </c>
      <c r="U12" s="47">
        <f t="shared" si="1"/>
        <v>7927.35</v>
      </c>
    </row>
    <row r="13" spans="1:21" x14ac:dyDescent="0.25">
      <c r="A13" s="7" t="s">
        <v>26</v>
      </c>
      <c r="B13" s="7" t="s">
        <v>68</v>
      </c>
      <c r="C13" s="7" t="s">
        <v>96</v>
      </c>
      <c r="D13" s="19">
        <v>3517.98</v>
      </c>
      <c r="E13" s="9"/>
      <c r="F13" s="9"/>
      <c r="G13" s="9">
        <v>0.01</v>
      </c>
      <c r="H13" s="9">
        <v>660</v>
      </c>
      <c r="I13" s="9"/>
      <c r="J13" s="43">
        <v>347.6</v>
      </c>
      <c r="K13" s="28">
        <f>SUM(H13:I13:J13)</f>
        <v>1007.6</v>
      </c>
      <c r="L13" s="9"/>
      <c r="M13" s="9"/>
      <c r="N13" s="9"/>
      <c r="O13" s="47">
        <f t="shared" si="0"/>
        <v>4525.59</v>
      </c>
      <c r="P13" s="9">
        <v>114.85</v>
      </c>
      <c r="Q13" s="9">
        <v>386.98</v>
      </c>
      <c r="R13" s="9"/>
      <c r="S13" s="9">
        <v>154.79</v>
      </c>
      <c r="T13" s="9">
        <f>SUM(P13:Q13:R13:S13)</f>
        <v>656.62</v>
      </c>
      <c r="U13" s="47">
        <f t="shared" si="1"/>
        <v>3868.9700000000003</v>
      </c>
    </row>
    <row r="14" spans="1:21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510</v>
      </c>
      <c r="I14" s="9"/>
      <c r="J14" s="9">
        <v>139.4</v>
      </c>
      <c r="K14" s="28">
        <f>SUM(H14:I14:J14)</f>
        <v>649.4</v>
      </c>
      <c r="L14" s="9"/>
      <c r="M14" s="9"/>
      <c r="N14" s="9"/>
      <c r="O14" s="47">
        <f t="shared" si="0"/>
        <v>10045.09</v>
      </c>
      <c r="P14" s="9">
        <v>1557.46</v>
      </c>
      <c r="Q14" s="9">
        <v>570.88</v>
      </c>
      <c r="R14" s="9"/>
      <c r="S14" s="9">
        <v>139.4</v>
      </c>
      <c r="T14" s="9">
        <f>SUM(P14:Q14:R14:S14)</f>
        <v>2267.7400000000002</v>
      </c>
      <c r="U14" s="47">
        <f t="shared" si="1"/>
        <v>7777.35</v>
      </c>
    </row>
    <row r="15" spans="1:21" hidden="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660</v>
      </c>
      <c r="I15" s="9"/>
      <c r="J15" s="19">
        <v>286</v>
      </c>
      <c r="K15" s="28">
        <f>SUM(H15:I15:J15)</f>
        <v>946</v>
      </c>
      <c r="L15" s="9"/>
      <c r="M15" s="9"/>
      <c r="N15" s="9"/>
      <c r="O15" s="47">
        <f t="shared" si="0"/>
        <v>2254.92</v>
      </c>
      <c r="P15" s="9"/>
      <c r="Q15" s="9"/>
      <c r="R15" s="9"/>
      <c r="S15" s="9"/>
      <c r="T15" s="9">
        <f>SUM(P15:Q15:R15:S15)</f>
        <v>0</v>
      </c>
      <c r="U15" s="47">
        <f t="shared" si="1"/>
        <v>2254.92</v>
      </c>
    </row>
    <row r="16" spans="1:21" x14ac:dyDescent="0.25">
      <c r="A16" s="13" t="s">
        <v>117</v>
      </c>
      <c r="B16" s="15" t="s">
        <v>75</v>
      </c>
      <c r="C16" s="15" t="s">
        <v>95</v>
      </c>
      <c r="D16" s="19">
        <v>5426.21</v>
      </c>
      <c r="E16" s="9"/>
      <c r="F16" s="9"/>
      <c r="G16" s="9"/>
      <c r="H16" s="9"/>
      <c r="I16" s="9"/>
      <c r="J16" s="9"/>
      <c r="K16" s="28">
        <f>SUM(H16:I16:J16)</f>
        <v>0</v>
      </c>
      <c r="L16" s="9"/>
      <c r="M16" s="9"/>
      <c r="N16" s="9"/>
      <c r="O16" s="47">
        <f t="shared" si="0"/>
        <v>5426.21</v>
      </c>
      <c r="P16" s="9">
        <v>570.71</v>
      </c>
      <c r="Q16" s="9"/>
      <c r="R16" s="9"/>
      <c r="S16" s="9"/>
      <c r="T16" s="9">
        <f>SUM(P16:Q16:R16:S16)</f>
        <v>570.71</v>
      </c>
      <c r="U16" s="47">
        <f t="shared" si="1"/>
        <v>4855.5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>
        <v>1172.6600000000001</v>
      </c>
      <c r="F17" s="9"/>
      <c r="G17" s="9">
        <f>25.43+1.44+4.24</f>
        <v>31.11</v>
      </c>
      <c r="H17" s="9">
        <v>420</v>
      </c>
      <c r="I17" s="9"/>
      <c r="J17" s="9">
        <v>221.2</v>
      </c>
      <c r="K17" s="28">
        <f>SUM(H17:I17:J17)</f>
        <v>641.20000000000005</v>
      </c>
      <c r="L17" s="9">
        <v>397.27</v>
      </c>
      <c r="M17" s="9"/>
      <c r="N17" s="9"/>
      <c r="O17" s="47">
        <f t="shared" si="0"/>
        <v>5760.2199999999993</v>
      </c>
      <c r="P17" s="9">
        <v>114.85</v>
      </c>
      <c r="Q17" s="9">
        <v>386.98</v>
      </c>
      <c r="R17" s="9">
        <f>11+35.18</f>
        <v>46.18</v>
      </c>
      <c r="S17" s="9">
        <v>154.79</v>
      </c>
      <c r="T17" s="9">
        <f>SUM(P17:Q17:R17:S17)</f>
        <v>702.8</v>
      </c>
      <c r="U17" s="47">
        <f t="shared" si="1"/>
        <v>5057.4199999999992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6436.9</v>
      </c>
      <c r="E18" s="9"/>
      <c r="F18" s="9"/>
      <c r="G18" s="9"/>
      <c r="H18" s="9">
        <v>660</v>
      </c>
      <c r="I18" s="9"/>
      <c r="J18" s="9">
        <v>180.4</v>
      </c>
      <c r="K18" s="28">
        <f>SUM(H18:I18:J18)</f>
        <v>840.4</v>
      </c>
      <c r="L18" s="9"/>
      <c r="M18" s="9"/>
      <c r="N18" s="9"/>
      <c r="O18" s="47">
        <f t="shared" si="0"/>
        <v>7277.2999999999993</v>
      </c>
      <c r="P18" s="9">
        <v>798.05</v>
      </c>
      <c r="Q18" s="19">
        <v>373.6</v>
      </c>
      <c r="R18" s="9"/>
      <c r="S18" s="9">
        <v>180.4</v>
      </c>
      <c r="T18" s="9">
        <f>SUM(P18:Q18:R18:S18)</f>
        <v>1352.0500000000002</v>
      </c>
      <c r="U18" s="47">
        <f t="shared" si="1"/>
        <v>5925.2499999999991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660</v>
      </c>
      <c r="I19" s="9"/>
      <c r="J19" s="43"/>
      <c r="K19" s="28">
        <f>SUM(H19:I19:J19)</f>
        <v>660</v>
      </c>
      <c r="L19" s="9"/>
      <c r="M19" s="9"/>
      <c r="N19" s="9"/>
      <c r="O19" s="47">
        <f t="shared" si="0"/>
        <v>8706.119999999999</v>
      </c>
      <c r="P19" s="9">
        <v>1186.33</v>
      </c>
      <c r="Q19" s="9">
        <v>570.88</v>
      </c>
      <c r="R19" s="9">
        <v>22</v>
      </c>
      <c r="S19" s="9"/>
      <c r="T19" s="9">
        <f>SUM(P19:Q19:R19:S19)</f>
        <v>1779.21</v>
      </c>
      <c r="U19" s="47">
        <f t="shared" si="1"/>
        <v>6926.9099999999989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660</v>
      </c>
      <c r="I20" s="9"/>
      <c r="J20" s="9"/>
      <c r="K20" s="28">
        <f>SUM(H20:I20:J20)</f>
        <v>660</v>
      </c>
      <c r="L20" s="9"/>
      <c r="M20" s="9"/>
      <c r="N20" s="9"/>
      <c r="O20" s="47">
        <f t="shared" si="0"/>
        <v>12999.48</v>
      </c>
      <c r="P20" s="9">
        <v>2367.0100000000002</v>
      </c>
      <c r="Q20" s="9">
        <v>570.88</v>
      </c>
      <c r="R20" s="9"/>
      <c r="S20" s="9"/>
      <c r="T20" s="9">
        <f>SUM(P20:Q20:R20:S20)</f>
        <v>2937.8900000000003</v>
      </c>
      <c r="U20" s="47">
        <f t="shared" si="1"/>
        <v>10061.59</v>
      </c>
    </row>
    <row r="21" spans="1:21" hidden="1" x14ac:dyDescent="0.25">
      <c r="A21" s="6" t="s">
        <v>131</v>
      </c>
      <c r="B21" s="7" t="s">
        <v>72</v>
      </c>
      <c r="C21" s="7" t="s">
        <v>98</v>
      </c>
      <c r="D21" s="19">
        <v>1308.92</v>
      </c>
      <c r="E21" s="9"/>
      <c r="F21" s="9"/>
      <c r="G21" s="9"/>
      <c r="H21" s="9">
        <v>660</v>
      </c>
      <c r="I21" s="9"/>
      <c r="J21" s="9">
        <v>286</v>
      </c>
      <c r="K21" s="28">
        <f>SUM(H21:I21:J21)</f>
        <v>946</v>
      </c>
      <c r="L21" s="9"/>
      <c r="M21" s="9"/>
      <c r="N21" s="9"/>
      <c r="O21" s="47">
        <f t="shared" si="0"/>
        <v>2254.92</v>
      </c>
      <c r="P21" s="9"/>
      <c r="Q21" s="9"/>
      <c r="R21" s="9"/>
      <c r="S21" s="9"/>
      <c r="T21" s="9">
        <f>SUM(P21:Q21:R21:S21)</f>
        <v>0</v>
      </c>
      <c r="U21" s="47">
        <f t="shared" si="1"/>
        <v>2254.92</v>
      </c>
    </row>
    <row r="22" spans="1:21" hidden="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300</v>
      </c>
      <c r="I22" s="9"/>
      <c r="J22" s="9">
        <v>82</v>
      </c>
      <c r="K22" s="28">
        <f>SUM(H22:I22:J22)</f>
        <v>382</v>
      </c>
      <c r="L22" s="9"/>
      <c r="M22" s="9"/>
      <c r="N22" s="9"/>
      <c r="O22" s="47">
        <f t="shared" si="0"/>
        <v>1690.92</v>
      </c>
      <c r="P22" s="9"/>
      <c r="Q22" s="9"/>
      <c r="R22" s="9"/>
      <c r="S22" s="9"/>
      <c r="T22" s="9">
        <f>SUM(P22:Q22:R22:S22)</f>
        <v>0</v>
      </c>
      <c r="U22" s="47">
        <f t="shared" si="1"/>
        <v>1690.92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12339.48</v>
      </c>
      <c r="E23" s="9"/>
      <c r="F23" s="9"/>
      <c r="G23" s="9"/>
      <c r="H23" s="9">
        <v>660</v>
      </c>
      <c r="I23" s="9"/>
      <c r="J23" s="43">
        <v>286</v>
      </c>
      <c r="K23" s="28">
        <f>SUM(H23:I23:J23)</f>
        <v>946</v>
      </c>
      <c r="L23" s="9"/>
      <c r="M23" s="19"/>
      <c r="N23" s="9"/>
      <c r="O23" s="47">
        <f t="shared" si="0"/>
        <v>13285.48</v>
      </c>
      <c r="P23" s="9">
        <v>2367.0100000000002</v>
      </c>
      <c r="Q23" s="9">
        <v>570.88</v>
      </c>
      <c r="R23" s="9">
        <v>11</v>
      </c>
      <c r="S23" s="9">
        <v>286</v>
      </c>
      <c r="T23" s="9">
        <f>SUM(P23:Q23:R23:S23)</f>
        <v>3234.8900000000003</v>
      </c>
      <c r="U23" s="47">
        <f t="shared" si="1"/>
        <v>10050.59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/>
      <c r="H24" s="9">
        <v>660</v>
      </c>
      <c r="I24" s="9"/>
      <c r="J24" s="9"/>
      <c r="K24" s="28">
        <f>SUM(H24:I24:J24)</f>
        <v>660</v>
      </c>
      <c r="L24" s="9"/>
      <c r="M24" s="9"/>
      <c r="N24" s="9"/>
      <c r="O24" s="47">
        <f t="shared" si="0"/>
        <v>4177.9799999999996</v>
      </c>
      <c r="P24" s="9">
        <v>114.85</v>
      </c>
      <c r="Q24" s="9">
        <v>386.98</v>
      </c>
      <c r="R24" s="9">
        <v>35.18</v>
      </c>
      <c r="S24" s="9"/>
      <c r="T24" s="9">
        <f>SUM(P24:Q24:R24:S24)</f>
        <v>537.01</v>
      </c>
      <c r="U24" s="47">
        <f t="shared" si="1"/>
        <v>3640.9699999999993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3517.98</v>
      </c>
      <c r="E25" s="9"/>
      <c r="F25" s="9"/>
      <c r="G25" s="9"/>
      <c r="H25" s="9">
        <v>660</v>
      </c>
      <c r="I25" s="9"/>
      <c r="J25" s="9"/>
      <c r="K25" s="28">
        <f>SUM(H25:I25:J25)</f>
        <v>660</v>
      </c>
      <c r="L25" s="9"/>
      <c r="M25" s="9"/>
      <c r="N25" s="9"/>
      <c r="O25" s="47">
        <f t="shared" si="0"/>
        <v>4177.9799999999996</v>
      </c>
      <c r="P25" s="9">
        <v>114.85</v>
      </c>
      <c r="Q25" s="9">
        <v>386.98</v>
      </c>
      <c r="R25" s="9"/>
      <c r="S25" s="9"/>
      <c r="T25" s="9">
        <f>SUM(P25:Q25:R25:S25)</f>
        <v>501.83000000000004</v>
      </c>
      <c r="U25" s="47">
        <f t="shared" si="1"/>
        <v>3676.1499999999996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/>
      <c r="H26" s="9">
        <v>660</v>
      </c>
      <c r="I26" s="9"/>
      <c r="J26" s="43"/>
      <c r="K26" s="28">
        <f>SUM(H26:I26:J26)</f>
        <v>660</v>
      </c>
      <c r="L26" s="9"/>
      <c r="M26" s="9"/>
      <c r="N26" s="9"/>
      <c r="O26" s="47">
        <f t="shared" si="0"/>
        <v>8706.119999999999</v>
      </c>
      <c r="P26" s="9">
        <v>1186.33</v>
      </c>
      <c r="Q26" s="9">
        <v>570.88</v>
      </c>
      <c r="R26" s="9"/>
      <c r="S26" s="9"/>
      <c r="T26" s="9">
        <f>SUM(P26:Q26:R26:S26)</f>
        <v>1757.21</v>
      </c>
      <c r="U26" s="47">
        <f t="shared" si="1"/>
        <v>6948.9099999999989</v>
      </c>
    </row>
    <row r="27" spans="1:21" hidden="1" x14ac:dyDescent="0.25">
      <c r="A27" s="6" t="s">
        <v>133</v>
      </c>
      <c r="B27" s="17" t="s">
        <v>72</v>
      </c>
      <c r="C27" s="7" t="s">
        <v>106</v>
      </c>
      <c r="D27" s="19">
        <v>1308.92</v>
      </c>
      <c r="E27" s="9"/>
      <c r="F27" s="9"/>
      <c r="G27" s="9"/>
      <c r="H27" s="9">
        <v>660</v>
      </c>
      <c r="I27" s="9"/>
      <c r="J27" s="9">
        <v>286</v>
      </c>
      <c r="K27" s="28">
        <f>SUM(H27:I27:J27)</f>
        <v>946</v>
      </c>
      <c r="L27" s="9"/>
      <c r="M27" s="9"/>
      <c r="N27" s="9"/>
      <c r="O27" s="47">
        <f t="shared" si="0"/>
        <v>2254.92</v>
      </c>
      <c r="P27" s="9"/>
      <c r="Q27" s="9"/>
      <c r="R27" s="9"/>
      <c r="S27" s="9"/>
      <c r="T27" s="9">
        <f>SUM(P27:Q27:R27:S27)</f>
        <v>0</v>
      </c>
      <c r="U27" s="47">
        <f t="shared" si="1"/>
        <v>2254.92</v>
      </c>
    </row>
    <row r="28" spans="1:21" x14ac:dyDescent="0.25">
      <c r="A28" s="6" t="s">
        <v>38</v>
      </c>
      <c r="B28" s="17" t="s">
        <v>81</v>
      </c>
      <c r="C28" s="7" t="s">
        <v>98</v>
      </c>
      <c r="D28" s="19">
        <v>6791.55</v>
      </c>
      <c r="E28" s="9"/>
      <c r="F28" s="9"/>
      <c r="G28" s="9"/>
      <c r="H28" s="9">
        <v>660</v>
      </c>
      <c r="I28" s="9"/>
      <c r="J28" s="9">
        <v>180.4</v>
      </c>
      <c r="K28" s="28">
        <f>SUM(H28:I28:J28)</f>
        <v>840.4</v>
      </c>
      <c r="L28" s="9"/>
      <c r="M28" s="9"/>
      <c r="N28" s="9"/>
      <c r="O28" s="47">
        <f t="shared" si="0"/>
        <v>7631.95</v>
      </c>
      <c r="P28" s="9">
        <v>841.32</v>
      </c>
      <c r="Q28" s="9">
        <v>570.88</v>
      </c>
      <c r="R28" s="9"/>
      <c r="S28" s="9">
        <v>180.4</v>
      </c>
      <c r="T28" s="9">
        <f>SUM(P28:Q28:R28:S28)</f>
        <v>1592.6000000000001</v>
      </c>
      <c r="U28" s="47">
        <f t="shared" si="1"/>
        <v>6039.3499999999995</v>
      </c>
    </row>
    <row r="29" spans="1:21" x14ac:dyDescent="0.25">
      <c r="A29" s="13" t="s">
        <v>40</v>
      </c>
      <c r="B29" s="15" t="s">
        <v>69</v>
      </c>
      <c r="C29" s="7" t="s">
        <v>100</v>
      </c>
      <c r="D29" s="19">
        <v>3517.98</v>
      </c>
      <c r="E29" s="9"/>
      <c r="F29" s="9"/>
      <c r="G29" s="9"/>
      <c r="H29" s="9">
        <v>660</v>
      </c>
      <c r="I29" s="9"/>
      <c r="J29" s="9">
        <v>286</v>
      </c>
      <c r="K29" s="28">
        <f>SUM(H29:I29:J29)</f>
        <v>946</v>
      </c>
      <c r="L29" s="9"/>
      <c r="M29" s="9"/>
      <c r="N29" s="9"/>
      <c r="O29" s="47">
        <f t="shared" si="0"/>
        <v>4463.9799999999996</v>
      </c>
      <c r="P29" s="9">
        <v>114.85</v>
      </c>
      <c r="Q29" s="9">
        <v>386.98</v>
      </c>
      <c r="R29" s="9"/>
      <c r="S29" s="9">
        <v>154.79</v>
      </c>
      <c r="T29" s="9">
        <f>SUM(P29:Q29:R29:S29)</f>
        <v>656.62</v>
      </c>
      <c r="U29" s="47">
        <f t="shared" si="1"/>
        <v>3807.3599999999997</v>
      </c>
    </row>
    <row r="30" spans="1:21" x14ac:dyDescent="0.25">
      <c r="A30" s="6" t="s">
        <v>41</v>
      </c>
      <c r="B30" s="7" t="s">
        <v>77</v>
      </c>
      <c r="C30" s="7" t="s">
        <v>96</v>
      </c>
      <c r="D30" s="19">
        <v>8046.12</v>
      </c>
      <c r="E30" s="9"/>
      <c r="F30" s="9"/>
      <c r="G30" s="9"/>
      <c r="H30" s="9">
        <v>660</v>
      </c>
      <c r="I30" s="9"/>
      <c r="J30" s="43"/>
      <c r="K30" s="28">
        <f>SUM(H30:I30:J30)</f>
        <v>660</v>
      </c>
      <c r="L30" s="9"/>
      <c r="M30" s="9"/>
      <c r="N30" s="9"/>
      <c r="O30" s="47">
        <f t="shared" si="0"/>
        <v>8706.119999999999</v>
      </c>
      <c r="P30" s="9">
        <v>1186.33</v>
      </c>
      <c r="Q30" s="9">
        <v>570.88</v>
      </c>
      <c r="R30" s="9">
        <v>11</v>
      </c>
      <c r="S30" s="9"/>
      <c r="T30" s="9">
        <f>SUM(P30:Q30:R30:S30)</f>
        <v>1768.21</v>
      </c>
      <c r="U30" s="47">
        <f t="shared" si="1"/>
        <v>6937.9099999999989</v>
      </c>
    </row>
    <row r="31" spans="1:21" x14ac:dyDescent="0.25">
      <c r="A31" s="6" t="s">
        <v>43</v>
      </c>
      <c r="B31" s="7" t="s">
        <v>76</v>
      </c>
      <c r="C31" s="7" t="s">
        <v>97</v>
      </c>
      <c r="D31" s="19">
        <v>8046.12</v>
      </c>
      <c r="E31" s="12"/>
      <c r="F31" s="9"/>
      <c r="G31" s="9">
        <f>11.52+1.92</f>
        <v>13.44</v>
      </c>
      <c r="H31" s="9">
        <v>390</v>
      </c>
      <c r="I31" s="9"/>
      <c r="J31" s="9">
        <v>106.6</v>
      </c>
      <c r="K31" s="28">
        <f>SUM(H31:I31:J31)</f>
        <v>496.6</v>
      </c>
      <c r="L31" s="9"/>
      <c r="M31" s="9"/>
      <c r="N31" s="9"/>
      <c r="O31" s="47">
        <f t="shared" si="0"/>
        <v>8556.16</v>
      </c>
      <c r="P31" s="9">
        <v>1186.33</v>
      </c>
      <c r="Q31" s="19">
        <v>570.88</v>
      </c>
      <c r="R31" s="9"/>
      <c r="S31" s="9">
        <v>106.6</v>
      </c>
      <c r="T31" s="9">
        <f>SUM(P31:Q31:R31:S31)</f>
        <v>1863.81</v>
      </c>
      <c r="U31" s="47">
        <f t="shared" si="1"/>
        <v>6692.35</v>
      </c>
    </row>
    <row r="32" spans="1:21" x14ac:dyDescent="0.25">
      <c r="A32" s="7" t="s">
        <v>44</v>
      </c>
      <c r="B32" s="7" t="s">
        <v>69</v>
      </c>
      <c r="C32" s="7" t="s">
        <v>100</v>
      </c>
      <c r="D32" s="19">
        <v>3517.98</v>
      </c>
      <c r="E32" s="9"/>
      <c r="F32" s="9"/>
      <c r="G32" s="9">
        <f>3.32+38.38+6.95</f>
        <v>48.650000000000006</v>
      </c>
      <c r="H32" s="9">
        <v>660</v>
      </c>
      <c r="I32" s="9"/>
      <c r="J32" s="9">
        <v>459.8</v>
      </c>
      <c r="K32" s="28">
        <f>SUM(H32:I32:J32)</f>
        <v>1119.8</v>
      </c>
      <c r="L32" s="9"/>
      <c r="M32" s="9"/>
      <c r="N32" s="9"/>
      <c r="O32" s="47">
        <f t="shared" si="0"/>
        <v>4686.43</v>
      </c>
      <c r="P32" s="9">
        <v>114.85</v>
      </c>
      <c r="Q32" s="9">
        <v>386.98</v>
      </c>
      <c r="R32" s="9">
        <v>11</v>
      </c>
      <c r="S32" s="9">
        <v>154.79</v>
      </c>
      <c r="T32" s="9">
        <f>SUM(P32:Q32:R32:S32)</f>
        <v>667.62</v>
      </c>
      <c r="U32" s="47">
        <f t="shared" si="1"/>
        <v>4018.8100000000004</v>
      </c>
    </row>
    <row r="33" spans="1:21" x14ac:dyDescent="0.25">
      <c r="A33" s="7" t="s">
        <v>45</v>
      </c>
      <c r="B33" s="7" t="s">
        <v>82</v>
      </c>
      <c r="C33" s="7" t="s">
        <v>97</v>
      </c>
      <c r="D33" s="19">
        <v>12339.48</v>
      </c>
      <c r="E33" s="9"/>
      <c r="F33" s="9"/>
      <c r="G33" s="9"/>
      <c r="H33" s="9">
        <v>660</v>
      </c>
      <c r="I33" s="9">
        <v>250</v>
      </c>
      <c r="J33" s="9">
        <v>1168.6400000000001</v>
      </c>
      <c r="K33" s="28">
        <f>SUM(H33:I33:J33)</f>
        <v>2078.6400000000003</v>
      </c>
      <c r="L33" s="9"/>
      <c r="M33" s="9"/>
      <c r="N33" s="9"/>
      <c r="O33" s="47">
        <f t="shared" si="0"/>
        <v>14418.119999999999</v>
      </c>
      <c r="P33" s="9">
        <v>2367.0100000000002</v>
      </c>
      <c r="Q33" s="19">
        <v>570.88</v>
      </c>
      <c r="R33" s="9"/>
      <c r="S33" s="9">
        <v>542.94000000000005</v>
      </c>
      <c r="T33" s="9">
        <f>SUM(P33:Q33:R33:S33)</f>
        <v>3480.8300000000004</v>
      </c>
      <c r="U33" s="47">
        <f t="shared" si="1"/>
        <v>10937.289999999999</v>
      </c>
    </row>
    <row r="34" spans="1:21" x14ac:dyDescent="0.25">
      <c r="A34" s="7" t="s">
        <v>46</v>
      </c>
      <c r="B34" s="7" t="s">
        <v>83</v>
      </c>
      <c r="C34" s="7" t="s">
        <v>94</v>
      </c>
      <c r="D34" s="19">
        <v>2110.79</v>
      </c>
      <c r="E34" s="9">
        <v>1407.19</v>
      </c>
      <c r="F34" s="9"/>
      <c r="G34" s="9">
        <f>8.36+1.39+20.15+1.44+5.69</f>
        <v>37.03</v>
      </c>
      <c r="H34" s="9">
        <v>420</v>
      </c>
      <c r="I34" s="9"/>
      <c r="J34" s="9">
        <v>182</v>
      </c>
      <c r="K34" s="28">
        <f>SUM(H34:I34:J34)</f>
        <v>602</v>
      </c>
      <c r="L34" s="9">
        <v>471.66</v>
      </c>
      <c r="M34" s="9"/>
      <c r="N34" s="9"/>
      <c r="O34" s="47">
        <f t="shared" si="0"/>
        <v>4628.67</v>
      </c>
      <c r="P34" s="9"/>
      <c r="Q34" s="9">
        <f>270.99+169.8</f>
        <v>440.79</v>
      </c>
      <c r="R34" s="9">
        <v>11</v>
      </c>
      <c r="S34" s="9">
        <v>98.5</v>
      </c>
      <c r="T34" s="9">
        <f>SUM(P34:Q34:R34:S34)</f>
        <v>550.29</v>
      </c>
      <c r="U34" s="47">
        <f t="shared" si="1"/>
        <v>4078.38</v>
      </c>
    </row>
    <row r="35" spans="1:21" x14ac:dyDescent="0.25">
      <c r="A35" s="7" t="s">
        <v>47</v>
      </c>
      <c r="B35" s="7" t="s">
        <v>84</v>
      </c>
      <c r="C35" s="7" t="s">
        <v>95</v>
      </c>
      <c r="D35" s="19">
        <v>12339.48</v>
      </c>
      <c r="E35" s="9"/>
      <c r="F35" s="9"/>
      <c r="G35" s="9"/>
      <c r="H35" s="9">
        <v>360</v>
      </c>
      <c r="I35" s="9"/>
      <c r="J35" s="9">
        <v>167.2</v>
      </c>
      <c r="K35" s="28">
        <f>SUM(H35:I35:J35)</f>
        <v>527.20000000000005</v>
      </c>
      <c r="L35" s="9"/>
      <c r="M35" s="9"/>
      <c r="N35" s="9"/>
      <c r="O35" s="47">
        <f t="shared" si="0"/>
        <v>12866.68</v>
      </c>
      <c r="P35" s="9">
        <v>2367.0100000000002</v>
      </c>
      <c r="Q35" s="9">
        <v>570.88</v>
      </c>
      <c r="R35" s="9"/>
      <c r="S35" s="9">
        <v>167.2</v>
      </c>
      <c r="T35" s="9">
        <f>SUM(P35:Q35:R35:S35)</f>
        <v>3105.09</v>
      </c>
      <c r="U35" s="47">
        <f t="shared" si="1"/>
        <v>9761.59</v>
      </c>
    </row>
    <row r="36" spans="1:21" hidden="1" x14ac:dyDescent="0.25">
      <c r="A36" s="7" t="s">
        <v>119</v>
      </c>
      <c r="B36" s="7" t="s">
        <v>72</v>
      </c>
      <c r="C36" s="7" t="s">
        <v>102</v>
      </c>
      <c r="D36" s="19">
        <v>1308.92</v>
      </c>
      <c r="E36" s="9"/>
      <c r="F36" s="9"/>
      <c r="G36" s="9"/>
      <c r="H36" s="9">
        <v>660</v>
      </c>
      <c r="I36" s="9"/>
      <c r="J36" s="19">
        <v>167.2</v>
      </c>
      <c r="K36" s="28">
        <f>SUM(H36:I36:J36)</f>
        <v>827.2</v>
      </c>
      <c r="L36" s="9"/>
      <c r="M36" s="9"/>
      <c r="N36" s="9"/>
      <c r="O36" s="47">
        <f t="shared" si="0"/>
        <v>2136.12</v>
      </c>
      <c r="P36" s="9"/>
      <c r="Q36" s="9"/>
      <c r="R36" s="9"/>
      <c r="S36" s="9"/>
      <c r="T36" s="9">
        <f>SUM(P36:Q36:R36:S36)</f>
        <v>0</v>
      </c>
      <c r="U36" s="47">
        <f t="shared" si="1"/>
        <v>2136.12</v>
      </c>
    </row>
    <row r="37" spans="1:21" x14ac:dyDescent="0.25">
      <c r="A37" s="7" t="s">
        <v>48</v>
      </c>
      <c r="B37" s="7" t="s">
        <v>85</v>
      </c>
      <c r="C37" s="7" t="s">
        <v>102</v>
      </c>
      <c r="D37" s="19">
        <v>5324.22</v>
      </c>
      <c r="E37" s="9">
        <v>4071.46</v>
      </c>
      <c r="F37" s="9"/>
      <c r="G37" s="9"/>
      <c r="H37" s="9">
        <v>360</v>
      </c>
      <c r="I37" s="9"/>
      <c r="J37" s="9"/>
      <c r="K37" s="28">
        <f>SUM(H37:I37:J37)</f>
        <v>360</v>
      </c>
      <c r="L37" s="9">
        <v>1357.15</v>
      </c>
      <c r="M37" s="9"/>
      <c r="N37" s="9"/>
      <c r="O37" s="47">
        <f t="shared" si="0"/>
        <v>11112.83</v>
      </c>
      <c r="P37" s="9">
        <f>594.8+1040.7</f>
        <v>1635.5</v>
      </c>
      <c r="Q37" s="9">
        <v>570.88</v>
      </c>
      <c r="R37" s="9"/>
      <c r="S37" s="9"/>
      <c r="T37" s="9">
        <f>SUM(P37:Q37:R37:S37)</f>
        <v>2206.38</v>
      </c>
      <c r="U37" s="47">
        <f t="shared" si="1"/>
        <v>8906.4500000000007</v>
      </c>
    </row>
    <row r="38" spans="1:21" x14ac:dyDescent="0.25">
      <c r="A38" s="7" t="s">
        <v>49</v>
      </c>
      <c r="B38" s="7" t="s">
        <v>86</v>
      </c>
      <c r="C38" s="7" t="s">
        <v>102</v>
      </c>
      <c r="D38" s="19">
        <v>6791.55</v>
      </c>
      <c r="E38" s="9"/>
      <c r="F38" s="9"/>
      <c r="G38" s="9">
        <f>86.59+14.43</f>
        <v>101.02000000000001</v>
      </c>
      <c r="H38" s="9">
        <v>660</v>
      </c>
      <c r="I38" s="9"/>
      <c r="J38" s="9">
        <v>180.4</v>
      </c>
      <c r="K38" s="28">
        <f>SUM(H38:I38:J38)</f>
        <v>840.4</v>
      </c>
      <c r="L38" s="9"/>
      <c r="M38" s="9"/>
      <c r="N38" s="9"/>
      <c r="O38" s="47">
        <f t="shared" si="0"/>
        <v>7732.97</v>
      </c>
      <c r="P38" s="9">
        <v>869.1</v>
      </c>
      <c r="Q38" s="19">
        <v>570.88</v>
      </c>
      <c r="R38" s="9"/>
      <c r="S38" s="9">
        <v>180.4</v>
      </c>
      <c r="T38" s="9">
        <f>SUM(P38:Q38:R38:S38)</f>
        <v>1620.38</v>
      </c>
      <c r="U38" s="47">
        <f t="shared" si="1"/>
        <v>6112.59</v>
      </c>
    </row>
    <row r="39" spans="1:21" x14ac:dyDescent="0.25">
      <c r="A39" s="7" t="s">
        <v>50</v>
      </c>
      <c r="B39" s="7" t="s">
        <v>80</v>
      </c>
      <c r="C39" s="7" t="s">
        <v>101</v>
      </c>
      <c r="D39" s="19">
        <v>3517.98</v>
      </c>
      <c r="E39" s="9"/>
      <c r="F39" s="9"/>
      <c r="G39" s="9">
        <f>18.47+3.08</f>
        <v>21.549999999999997</v>
      </c>
      <c r="H39" s="9">
        <v>660</v>
      </c>
      <c r="I39" s="9"/>
      <c r="J39" s="9">
        <v>222.2</v>
      </c>
      <c r="K39" s="28">
        <f>SUM(H39:I39:J39)</f>
        <v>882.2</v>
      </c>
      <c r="L39" s="9"/>
      <c r="M39" s="9"/>
      <c r="N39" s="9"/>
      <c r="O39" s="47">
        <f t="shared" si="0"/>
        <v>4421.7300000000005</v>
      </c>
      <c r="P39" s="9">
        <v>117.73</v>
      </c>
      <c r="Q39" s="9">
        <v>389.35</v>
      </c>
      <c r="R39" s="9">
        <v>11</v>
      </c>
      <c r="S39" s="9">
        <v>154.79</v>
      </c>
      <c r="T39" s="9">
        <f>SUM(P39:Q39:R39:S39)</f>
        <v>672.87</v>
      </c>
      <c r="U39" s="47">
        <f t="shared" si="1"/>
        <v>3748.8600000000006</v>
      </c>
    </row>
    <row r="40" spans="1:21" x14ac:dyDescent="0.25">
      <c r="A40" s="6" t="s">
        <v>51</v>
      </c>
      <c r="B40" s="7" t="s">
        <v>68</v>
      </c>
      <c r="C40" s="7" t="s">
        <v>92</v>
      </c>
      <c r="D40" s="19">
        <v>3517.98</v>
      </c>
      <c r="E40" s="9"/>
      <c r="F40" s="9"/>
      <c r="G40" s="9"/>
      <c r="H40" s="9">
        <v>660</v>
      </c>
      <c r="I40" s="9"/>
      <c r="J40" s="9">
        <v>213.2</v>
      </c>
      <c r="K40" s="28">
        <f>SUM(H40:I40:J40)</f>
        <v>873.2</v>
      </c>
      <c r="L40" s="12"/>
      <c r="M40" s="9"/>
      <c r="N40" s="9"/>
      <c r="O40" s="47">
        <f t="shared" si="0"/>
        <v>4391.18</v>
      </c>
      <c r="P40" s="9">
        <v>114.85</v>
      </c>
      <c r="Q40" s="9">
        <v>386.98</v>
      </c>
      <c r="R40" s="9">
        <v>35.18</v>
      </c>
      <c r="S40" s="9">
        <v>154.79</v>
      </c>
      <c r="T40" s="9">
        <f>SUM(P40:Q40:R40:S40)</f>
        <v>691.8</v>
      </c>
      <c r="U40" s="47">
        <f t="shared" si="1"/>
        <v>3699.38</v>
      </c>
    </row>
    <row r="41" spans="1:21" x14ac:dyDescent="0.25">
      <c r="A41" s="7" t="s">
        <v>53</v>
      </c>
      <c r="B41" s="7" t="s">
        <v>68</v>
      </c>
      <c r="C41" s="7" t="s">
        <v>92</v>
      </c>
      <c r="D41" s="19">
        <v>3517.98</v>
      </c>
      <c r="E41" s="9"/>
      <c r="F41" s="9"/>
      <c r="G41" s="9">
        <f>92.35+15.39</f>
        <v>107.74</v>
      </c>
      <c r="H41" s="9">
        <v>660</v>
      </c>
      <c r="I41" s="9"/>
      <c r="J41" s="9">
        <v>188.6</v>
      </c>
      <c r="K41" s="28">
        <f>SUM(H41:I41:J41)</f>
        <v>848.6</v>
      </c>
      <c r="L41" s="9"/>
      <c r="M41" s="9"/>
      <c r="N41" s="9"/>
      <c r="O41" s="47">
        <f t="shared" si="0"/>
        <v>4474.32</v>
      </c>
      <c r="P41" s="9">
        <v>129.22999999999999</v>
      </c>
      <c r="Q41" s="9">
        <v>398.83</v>
      </c>
      <c r="R41" s="9">
        <f>11+35.18</f>
        <v>46.18</v>
      </c>
      <c r="S41" s="9">
        <v>154.79</v>
      </c>
      <c r="T41" s="9">
        <f>SUM(P41:Q41:R41:S41)</f>
        <v>729.02999999999986</v>
      </c>
      <c r="U41" s="47">
        <f t="shared" si="1"/>
        <v>3745.29</v>
      </c>
    </row>
    <row r="42" spans="1:21" x14ac:dyDescent="0.25">
      <c r="A42" s="7" t="s">
        <v>137</v>
      </c>
      <c r="B42" s="7" t="s">
        <v>69</v>
      </c>
      <c r="C42" s="7" t="s">
        <v>100</v>
      </c>
      <c r="D42" s="19">
        <v>3517.98</v>
      </c>
      <c r="E42" s="9"/>
      <c r="F42" s="9"/>
      <c r="G42" s="9"/>
      <c r="H42" s="9">
        <v>660</v>
      </c>
      <c r="I42" s="9"/>
      <c r="J42" s="9">
        <v>286</v>
      </c>
      <c r="K42" s="28">
        <f>SUM(H42:I42:J42)</f>
        <v>946</v>
      </c>
      <c r="L42" s="9"/>
      <c r="M42" s="9"/>
      <c r="N42" s="9"/>
      <c r="O42" s="47">
        <f t="shared" si="0"/>
        <v>4463.9799999999996</v>
      </c>
      <c r="P42" s="9">
        <v>114.85</v>
      </c>
      <c r="Q42" s="9">
        <v>386.98</v>
      </c>
      <c r="R42" s="9">
        <v>11</v>
      </c>
      <c r="S42" s="9">
        <v>154.79</v>
      </c>
      <c r="T42" s="9">
        <f>SUM(P42:Q42:R42:S42)</f>
        <v>667.62</v>
      </c>
      <c r="U42" s="47">
        <f t="shared" si="1"/>
        <v>3796.3599999999997</v>
      </c>
    </row>
    <row r="43" spans="1:21" x14ac:dyDescent="0.25">
      <c r="A43" s="7" t="s">
        <v>54</v>
      </c>
      <c r="B43" s="7" t="s">
        <v>76</v>
      </c>
      <c r="C43" s="7" t="s">
        <v>97</v>
      </c>
      <c r="D43" s="19">
        <v>8046.12</v>
      </c>
      <c r="E43" s="9"/>
      <c r="F43" s="9"/>
      <c r="G43" s="9"/>
      <c r="H43" s="9">
        <v>660</v>
      </c>
      <c r="I43" s="9">
        <v>250</v>
      </c>
      <c r="J43" s="19"/>
      <c r="K43" s="28">
        <f>SUM(H43:I43:J43)</f>
        <v>910</v>
      </c>
      <c r="L43" s="9"/>
      <c r="M43" s="9"/>
      <c r="N43" s="9"/>
      <c r="O43" s="47">
        <f t="shared" si="0"/>
        <v>8956.119999999999</v>
      </c>
      <c r="P43" s="9">
        <v>1134.19</v>
      </c>
      <c r="Q43" s="19">
        <v>570.88</v>
      </c>
      <c r="R43" s="9"/>
      <c r="S43" s="19"/>
      <c r="T43" s="9">
        <f>SUM(P43:Q43:R43:S43)</f>
        <v>1705.0700000000002</v>
      </c>
      <c r="U43" s="47">
        <f t="shared" si="1"/>
        <v>7251.0499999999993</v>
      </c>
    </row>
    <row r="44" spans="1:21" x14ac:dyDescent="0.25">
      <c r="A44" s="6" t="s">
        <v>55</v>
      </c>
      <c r="B44" s="7" t="s">
        <v>76</v>
      </c>
      <c r="C44" s="7" t="s">
        <v>97</v>
      </c>
      <c r="D44" s="19">
        <v>8046.12</v>
      </c>
      <c r="E44" s="9"/>
      <c r="F44" s="9"/>
      <c r="G44" s="9"/>
      <c r="H44" s="9">
        <v>660</v>
      </c>
      <c r="I44" s="9"/>
      <c r="J44" s="9"/>
      <c r="K44" s="28">
        <f>SUM(H44:I44:J44)</f>
        <v>660</v>
      </c>
      <c r="L44" s="9"/>
      <c r="M44" s="9"/>
      <c r="N44" s="9"/>
      <c r="O44" s="47">
        <f t="shared" si="0"/>
        <v>8706.119999999999</v>
      </c>
      <c r="P44" s="9">
        <v>1186.33</v>
      </c>
      <c r="Q44" s="19">
        <v>570.88</v>
      </c>
      <c r="R44" s="9"/>
      <c r="S44" s="9"/>
      <c r="T44" s="9">
        <f>SUM(P44:Q44:R44:S44)</f>
        <v>1757.21</v>
      </c>
      <c r="U44" s="47">
        <f t="shared" si="1"/>
        <v>6948.9099999999989</v>
      </c>
    </row>
    <row r="45" spans="1:21" x14ac:dyDescent="0.25">
      <c r="A45" s="6" t="s">
        <v>57</v>
      </c>
      <c r="B45" s="7" t="s">
        <v>76</v>
      </c>
      <c r="C45" s="7" t="s">
        <v>96</v>
      </c>
      <c r="D45" s="19">
        <v>8046.12</v>
      </c>
      <c r="E45" s="9"/>
      <c r="F45" s="9"/>
      <c r="G45" s="9">
        <f>45.26+7.54</f>
        <v>52.8</v>
      </c>
      <c r="H45" s="9">
        <v>660</v>
      </c>
      <c r="I45" s="9"/>
      <c r="J45" s="43"/>
      <c r="K45" s="28">
        <f>SUM(H45:I45:J45)</f>
        <v>660</v>
      </c>
      <c r="L45" s="9"/>
      <c r="M45" s="9"/>
      <c r="N45" s="9"/>
      <c r="O45" s="47">
        <f t="shared" si="0"/>
        <v>8758.92</v>
      </c>
      <c r="P45" s="9">
        <v>1200.8499999999999</v>
      </c>
      <c r="Q45" s="9">
        <v>570.88</v>
      </c>
      <c r="R45" s="9">
        <v>11</v>
      </c>
      <c r="S45" s="9"/>
      <c r="T45" s="9">
        <f>SUM(P45:Q45:R45:S45)</f>
        <v>1782.73</v>
      </c>
      <c r="U45" s="47">
        <f t="shared" si="1"/>
        <v>6976.1900000000005</v>
      </c>
    </row>
    <row r="46" spans="1:21" x14ac:dyDescent="0.25">
      <c r="A46" s="6" t="s">
        <v>58</v>
      </c>
      <c r="B46" s="7" t="s">
        <v>68</v>
      </c>
      <c r="C46" s="7" t="s">
        <v>92</v>
      </c>
      <c r="D46" s="19">
        <v>3517.98</v>
      </c>
      <c r="E46" s="9"/>
      <c r="F46" s="9"/>
      <c r="G46" s="9"/>
      <c r="H46" s="9">
        <v>660</v>
      </c>
      <c r="I46" s="9"/>
      <c r="J46" s="9">
        <v>252.8</v>
      </c>
      <c r="K46" s="28">
        <f>SUM(H46:I46:J46)</f>
        <v>912.8</v>
      </c>
      <c r="L46" s="9"/>
      <c r="M46" s="9"/>
      <c r="N46" s="9"/>
      <c r="O46" s="47">
        <f t="shared" si="0"/>
        <v>4430.78</v>
      </c>
      <c r="P46" s="9">
        <v>63.59</v>
      </c>
      <c r="Q46" s="9">
        <v>386.98</v>
      </c>
      <c r="R46" s="9">
        <f>33+35.18</f>
        <v>68.180000000000007</v>
      </c>
      <c r="S46" s="9">
        <v>154.79</v>
      </c>
      <c r="T46" s="9">
        <f>SUM(P46:Q46:R46:S46)</f>
        <v>673.54</v>
      </c>
      <c r="U46" s="47">
        <f t="shared" si="1"/>
        <v>3757.24</v>
      </c>
    </row>
    <row r="47" spans="1:21" x14ac:dyDescent="0.25">
      <c r="A47" s="6" t="s">
        <v>59</v>
      </c>
      <c r="B47" s="7" t="s">
        <v>76</v>
      </c>
      <c r="C47" s="7" t="s">
        <v>96</v>
      </c>
      <c r="D47" s="19">
        <v>8046.12</v>
      </c>
      <c r="E47" s="9"/>
      <c r="F47" s="9"/>
      <c r="G47" s="9">
        <f>49.28+8.21</f>
        <v>57.49</v>
      </c>
      <c r="H47" s="9">
        <v>660</v>
      </c>
      <c r="I47" s="9"/>
      <c r="J47" s="43">
        <v>180.4</v>
      </c>
      <c r="K47" s="28">
        <f>SUM(H47:I47:J47)</f>
        <v>840.4</v>
      </c>
      <c r="L47" s="9"/>
      <c r="M47" s="9"/>
      <c r="N47" s="9"/>
      <c r="O47" s="47">
        <f t="shared" si="0"/>
        <v>8944.01</v>
      </c>
      <c r="P47" s="9">
        <v>1202.1400000000001</v>
      </c>
      <c r="Q47" s="9">
        <v>570.88</v>
      </c>
      <c r="R47" s="9"/>
      <c r="S47" s="9">
        <v>180.4</v>
      </c>
      <c r="T47" s="9">
        <f>SUM(P47:Q47:R47:S47)</f>
        <v>1953.42</v>
      </c>
      <c r="U47" s="47">
        <f t="shared" si="1"/>
        <v>6990.59</v>
      </c>
    </row>
    <row r="48" spans="1:21" x14ac:dyDescent="0.25">
      <c r="A48" s="6" t="s">
        <v>60</v>
      </c>
      <c r="B48" s="7" t="s">
        <v>87</v>
      </c>
      <c r="C48" s="7" t="s">
        <v>94</v>
      </c>
      <c r="D48" s="19">
        <v>3169.39</v>
      </c>
      <c r="E48" s="9">
        <v>3622.16</v>
      </c>
      <c r="F48" s="9"/>
      <c r="G48" s="9">
        <f>43.3+7.22+26.8+11.69</f>
        <v>89.009999999999991</v>
      </c>
      <c r="H48" s="9">
        <v>330</v>
      </c>
      <c r="I48" s="9"/>
      <c r="J48" s="9">
        <v>83.6</v>
      </c>
      <c r="K48" s="28">
        <f>SUM(H48:I48:J48)</f>
        <v>413.6</v>
      </c>
      <c r="L48" s="9">
        <v>1213.01</v>
      </c>
      <c r="M48" s="9"/>
      <c r="N48" s="9"/>
      <c r="O48" s="47">
        <f t="shared" si="0"/>
        <v>8507.17</v>
      </c>
      <c r="P48" s="9">
        <f>122.61+474.75</f>
        <v>597.36</v>
      </c>
      <c r="Q48" s="9">
        <f>37.16+533.72</f>
        <v>570.88</v>
      </c>
      <c r="R48" s="9"/>
      <c r="S48" s="9">
        <v>83.6</v>
      </c>
      <c r="T48" s="9">
        <f>SUM(P48:Q48:R48:S48)</f>
        <v>1251.8399999999999</v>
      </c>
      <c r="U48" s="47">
        <f t="shared" si="1"/>
        <v>7255.33</v>
      </c>
    </row>
    <row r="49" spans="1:21" x14ac:dyDescent="0.25">
      <c r="A49" s="6" t="s">
        <v>61</v>
      </c>
      <c r="B49" s="7" t="s">
        <v>88</v>
      </c>
      <c r="C49" s="7" t="s">
        <v>93</v>
      </c>
      <c r="D49" s="19">
        <v>9395.69</v>
      </c>
      <c r="E49" s="9"/>
      <c r="F49" s="9"/>
      <c r="G49" s="9"/>
      <c r="H49" s="9">
        <v>660</v>
      </c>
      <c r="I49" s="9"/>
      <c r="J49" s="9">
        <v>180.4</v>
      </c>
      <c r="K49" s="28">
        <f>SUM(H49:I49:J49)</f>
        <v>840.4</v>
      </c>
      <c r="L49" s="9"/>
      <c r="M49" s="9"/>
      <c r="N49" s="9"/>
      <c r="O49" s="47">
        <f t="shared" si="0"/>
        <v>10236.09</v>
      </c>
      <c r="P49" s="9">
        <v>1557.46</v>
      </c>
      <c r="Q49" s="9">
        <v>570.88</v>
      </c>
      <c r="R49" s="9"/>
      <c r="S49" s="9">
        <v>180.4</v>
      </c>
      <c r="T49" s="9">
        <f>SUM(P49:Q49:R49:S49)</f>
        <v>2308.7400000000002</v>
      </c>
      <c r="U49" s="47">
        <f t="shared" si="1"/>
        <v>7927.35</v>
      </c>
    </row>
    <row r="50" spans="1:21" x14ac:dyDescent="0.25">
      <c r="A50" s="7" t="s">
        <v>62</v>
      </c>
      <c r="B50" s="7" t="s">
        <v>83</v>
      </c>
      <c r="C50" s="7" t="s">
        <v>94</v>
      </c>
      <c r="D50" s="19">
        <v>3517.98</v>
      </c>
      <c r="E50" s="9"/>
      <c r="F50" s="9"/>
      <c r="G50" s="9">
        <f>33.86+5.64</f>
        <v>39.5</v>
      </c>
      <c r="H50" s="9">
        <v>660</v>
      </c>
      <c r="I50" s="9"/>
      <c r="J50" s="9">
        <v>440</v>
      </c>
      <c r="K50" s="28">
        <f>SUM(H50:I50:J50)</f>
        <v>1100</v>
      </c>
      <c r="L50" s="9"/>
      <c r="M50" s="9"/>
      <c r="N50" s="9"/>
      <c r="O50" s="47">
        <f t="shared" si="0"/>
        <v>4657.4799999999996</v>
      </c>
      <c r="P50" s="9">
        <v>120.12</v>
      </c>
      <c r="Q50" s="9">
        <v>391.32</v>
      </c>
      <c r="R50" s="9">
        <f>35.18+35.18</f>
        <v>70.36</v>
      </c>
      <c r="S50" s="9">
        <v>154.79</v>
      </c>
      <c r="T50" s="9">
        <f>SUM(P50:Q50:R50:S50)</f>
        <v>736.58999999999992</v>
      </c>
      <c r="U50" s="47">
        <f t="shared" si="1"/>
        <v>3920.8899999999994</v>
      </c>
    </row>
    <row r="51" spans="1:21" x14ac:dyDescent="0.25">
      <c r="A51" s="7" t="s">
        <v>63</v>
      </c>
      <c r="B51" s="7" t="s">
        <v>89</v>
      </c>
      <c r="C51" s="7" t="s">
        <v>98</v>
      </c>
      <c r="D51" s="19">
        <v>6791.55</v>
      </c>
      <c r="E51" s="9"/>
      <c r="F51" s="9"/>
      <c r="G51" s="9">
        <f>123.1+20.52</f>
        <v>143.62</v>
      </c>
      <c r="H51" s="9">
        <v>660</v>
      </c>
      <c r="I51" s="9"/>
      <c r="J51" s="9">
        <v>180.4</v>
      </c>
      <c r="K51" s="28">
        <f>SUM(H51:I51:J51)</f>
        <v>840.4</v>
      </c>
      <c r="L51" s="9"/>
      <c r="M51" s="9"/>
      <c r="N51" s="9"/>
      <c r="O51" s="47">
        <f t="shared" si="0"/>
        <v>7775.57</v>
      </c>
      <c r="P51" s="9">
        <v>880.82</v>
      </c>
      <c r="Q51" s="9">
        <v>570.88</v>
      </c>
      <c r="R51" s="9"/>
      <c r="S51" s="9">
        <v>180.4</v>
      </c>
      <c r="T51" s="9">
        <f>SUM(P51:Q51:R51:S51)</f>
        <v>1632.1000000000001</v>
      </c>
      <c r="U51" s="47">
        <f t="shared" si="1"/>
        <v>6143.4699999999993</v>
      </c>
    </row>
    <row r="52" spans="1:21" hidden="1" x14ac:dyDescent="0.25">
      <c r="A52" s="13" t="s">
        <v>129</v>
      </c>
      <c r="B52" s="15" t="s">
        <v>72</v>
      </c>
      <c r="C52" s="7" t="s">
        <v>106</v>
      </c>
      <c r="D52" s="19">
        <v>1308.92</v>
      </c>
      <c r="E52" s="9"/>
      <c r="F52" s="9"/>
      <c r="G52" s="9"/>
      <c r="H52" s="9">
        <v>660</v>
      </c>
      <c r="I52" s="9"/>
      <c r="J52" s="43">
        <v>286</v>
      </c>
      <c r="K52" s="28">
        <f>SUM(H52:I52:J52)</f>
        <v>946</v>
      </c>
      <c r="L52" s="9"/>
      <c r="M52" s="9"/>
      <c r="N52" s="9"/>
      <c r="O52" s="47">
        <f t="shared" si="0"/>
        <v>2254.92</v>
      </c>
      <c r="P52" s="9"/>
      <c r="Q52" s="9"/>
      <c r="R52" s="9"/>
      <c r="S52" s="9"/>
      <c r="T52" s="9">
        <f>SUM(P52:Q52:R52:S52)</f>
        <v>0</v>
      </c>
      <c r="U52" s="47">
        <f t="shared" si="1"/>
        <v>2254.92</v>
      </c>
    </row>
    <row r="53" spans="1:21" x14ac:dyDescent="0.25">
      <c r="A53" s="6" t="s">
        <v>64</v>
      </c>
      <c r="B53" s="7" t="s">
        <v>68</v>
      </c>
      <c r="C53" s="7" t="s">
        <v>96</v>
      </c>
      <c r="D53" s="19">
        <v>3517.98</v>
      </c>
      <c r="E53" s="9"/>
      <c r="F53" s="9"/>
      <c r="G53" s="9"/>
      <c r="H53" s="9">
        <v>660</v>
      </c>
      <c r="I53" s="9"/>
      <c r="J53" s="43"/>
      <c r="K53" s="28">
        <f>SUM(H53:I53:J53)</f>
        <v>660</v>
      </c>
      <c r="L53" s="9"/>
      <c r="M53" s="9"/>
      <c r="N53" s="9"/>
      <c r="O53" s="47">
        <f t="shared" si="0"/>
        <v>4177.9799999999996</v>
      </c>
      <c r="P53" s="9">
        <v>114.85</v>
      </c>
      <c r="Q53" s="9">
        <v>386.98</v>
      </c>
      <c r="R53" s="9">
        <v>11</v>
      </c>
      <c r="S53" s="9"/>
      <c r="T53" s="9">
        <f>SUM(P53:Q53:R53:S53)</f>
        <v>512.83000000000004</v>
      </c>
      <c r="U53" s="47">
        <f t="shared" si="1"/>
        <v>3665.1499999999996</v>
      </c>
    </row>
    <row r="54" spans="1:21" x14ac:dyDescent="0.25">
      <c r="A54" s="7" t="s">
        <v>65</v>
      </c>
      <c r="B54" s="7" t="s">
        <v>90</v>
      </c>
      <c r="C54" s="7" t="s">
        <v>100</v>
      </c>
      <c r="D54" s="19">
        <v>6791.55</v>
      </c>
      <c r="E54" s="9"/>
      <c r="F54" s="9"/>
      <c r="G54" s="9"/>
      <c r="H54" s="9">
        <v>660</v>
      </c>
      <c r="I54" s="9"/>
      <c r="J54" s="9"/>
      <c r="K54" s="28">
        <f>SUM(H54:I54:J54)</f>
        <v>660</v>
      </c>
      <c r="L54" s="9"/>
      <c r="M54" s="9"/>
      <c r="N54" s="9"/>
      <c r="O54" s="47">
        <f t="shared" si="0"/>
        <v>7451.55</v>
      </c>
      <c r="P54" s="9">
        <v>841.32</v>
      </c>
      <c r="Q54" s="9">
        <v>570.88</v>
      </c>
      <c r="R54" s="9"/>
      <c r="S54" s="9"/>
      <c r="T54" s="9">
        <f>SUM(P54:Q54:R54:S54)</f>
        <v>1412.2</v>
      </c>
      <c r="U54" s="47">
        <f t="shared" si="1"/>
        <v>6039.35</v>
      </c>
    </row>
    <row r="55" spans="1:21" hidden="1" x14ac:dyDescent="0.25">
      <c r="A55" s="6" t="s">
        <v>66</v>
      </c>
      <c r="B55" s="7" t="s">
        <v>72</v>
      </c>
      <c r="C55" s="7" t="s">
        <v>102</v>
      </c>
      <c r="D55" s="19">
        <v>1308.92</v>
      </c>
      <c r="E55" s="9"/>
      <c r="F55" s="9"/>
      <c r="G55" s="9"/>
      <c r="H55" s="9">
        <v>660</v>
      </c>
      <c r="I55" s="9"/>
      <c r="J55" s="9">
        <v>286</v>
      </c>
      <c r="K55" s="28">
        <f>SUM(H55:I55:J55)</f>
        <v>946</v>
      </c>
      <c r="L55" s="9"/>
      <c r="M55" s="9"/>
      <c r="N55" s="9"/>
      <c r="O55" s="47">
        <f t="shared" si="0"/>
        <v>2254.92</v>
      </c>
      <c r="P55" s="9"/>
      <c r="Q55" s="9"/>
      <c r="R55" s="9"/>
      <c r="S55" s="9"/>
      <c r="T55" s="9">
        <f>SUM(P55:Q55:R55:S55)</f>
        <v>0</v>
      </c>
      <c r="U55" s="47">
        <f t="shared" si="1"/>
        <v>2254.92</v>
      </c>
    </row>
    <row r="56" spans="1:21" x14ac:dyDescent="0.25">
      <c r="A56" s="2"/>
      <c r="B56" s="2"/>
      <c r="C56" s="2"/>
      <c r="D56" s="2"/>
      <c r="E56" s="2"/>
      <c r="F56" s="2"/>
      <c r="G56" s="2"/>
      <c r="H56" s="27">
        <f>SUM(H5:H55)</f>
        <v>30210</v>
      </c>
      <c r="I56" s="27">
        <f>SUM(I5:I55)</f>
        <v>750</v>
      </c>
      <c r="J56" s="27">
        <f>SUM(J5:J55)</f>
        <v>8960.4399999999987</v>
      </c>
      <c r="K56" s="1"/>
      <c r="L56" s="2"/>
      <c r="M56" s="2"/>
      <c r="N56" s="2"/>
      <c r="O56" s="3"/>
      <c r="P56" s="2"/>
      <c r="Q56" s="2"/>
      <c r="R56" s="2"/>
      <c r="S56" s="2"/>
      <c r="T56" s="55"/>
      <c r="U56" s="44">
        <f>SUM(U5:U55)</f>
        <v>273779.80999999994</v>
      </c>
    </row>
    <row r="57" spans="1:21" ht="19.5" x14ac:dyDescent="0.3">
      <c r="A57" s="21" t="s">
        <v>140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56"/>
      <c r="U57" s="2"/>
    </row>
    <row r="58" spans="1:21" ht="15.75" x14ac:dyDescent="0.25">
      <c r="A58" s="32" t="s">
        <v>0</v>
      </c>
      <c r="B58" s="32" t="s">
        <v>1</v>
      </c>
      <c r="C58" s="32" t="s">
        <v>2</v>
      </c>
      <c r="D58" s="32" t="s">
        <v>111</v>
      </c>
      <c r="E58" s="32" t="s">
        <v>110</v>
      </c>
      <c r="F58" s="32" t="s">
        <v>11</v>
      </c>
      <c r="G58" s="32" t="s">
        <v>12</v>
      </c>
      <c r="H58" s="32" t="s">
        <v>109</v>
      </c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6" t="s">
        <v>17</v>
      </c>
      <c r="B59" s="7" t="s">
        <v>68</v>
      </c>
      <c r="C59" s="7" t="s">
        <v>92</v>
      </c>
      <c r="D59" s="51">
        <v>1763.35</v>
      </c>
      <c r="E59" s="9">
        <f>6.8+3517.98+1.13</f>
        <v>3525.9100000000003</v>
      </c>
      <c r="F59" s="9">
        <v>115.91</v>
      </c>
      <c r="G59" s="9">
        <v>387.85</v>
      </c>
      <c r="H59" s="57">
        <f t="shared" ref="H59:H101" si="2">E59-D59-G59-F59</f>
        <v>1258.8000000000004</v>
      </c>
    </row>
    <row r="60" spans="1:21" x14ac:dyDescent="0.25">
      <c r="A60" s="6" t="s">
        <v>18</v>
      </c>
      <c r="B60" s="7" t="s">
        <v>69</v>
      </c>
      <c r="C60" s="7" t="s">
        <v>93</v>
      </c>
      <c r="D60" s="51">
        <v>1777.97</v>
      </c>
      <c r="E60" s="9">
        <f>30.79+3517.98+5.13</f>
        <v>3553.9</v>
      </c>
      <c r="F60" s="9">
        <v>65.98</v>
      </c>
      <c r="G60" s="9">
        <v>390.93</v>
      </c>
      <c r="H60" s="57">
        <f t="shared" si="2"/>
        <v>1319.02</v>
      </c>
    </row>
    <row r="61" spans="1:21" x14ac:dyDescent="0.25">
      <c r="A61" s="10" t="s">
        <v>19</v>
      </c>
      <c r="B61" s="11" t="s">
        <v>70</v>
      </c>
      <c r="C61" s="11" t="s">
        <v>94</v>
      </c>
      <c r="D61" s="51">
        <v>6169.74</v>
      </c>
      <c r="E61" s="9">
        <v>12339.48</v>
      </c>
      <c r="F61" s="9">
        <v>2314.87</v>
      </c>
      <c r="G61" s="9">
        <v>570.88</v>
      </c>
      <c r="H61" s="57">
        <f t="shared" si="2"/>
        <v>3283.99</v>
      </c>
    </row>
    <row r="62" spans="1:21" x14ac:dyDescent="0.25">
      <c r="A62" s="10" t="s">
        <v>20</v>
      </c>
      <c r="B62" s="11" t="s">
        <v>71</v>
      </c>
      <c r="C62" s="11" t="s">
        <v>95</v>
      </c>
      <c r="D62" s="51">
        <v>2616.71</v>
      </c>
      <c r="E62" s="9">
        <f>5149.73+45.64+7.61</f>
        <v>5202.9799999999996</v>
      </c>
      <c r="F62" s="9">
        <v>320.77999999999997</v>
      </c>
      <c r="G62" s="9">
        <v>570.88</v>
      </c>
      <c r="H62" s="57">
        <f t="shared" si="2"/>
        <v>1694.6099999999994</v>
      </c>
    </row>
    <row r="63" spans="1:21" x14ac:dyDescent="0.25">
      <c r="A63" s="7" t="s">
        <v>22</v>
      </c>
      <c r="B63" s="7" t="s">
        <v>68</v>
      </c>
      <c r="C63" s="7" t="s">
        <v>92</v>
      </c>
      <c r="D63" s="51">
        <v>1765.05</v>
      </c>
      <c r="E63" s="9">
        <f>9.43+3517.98+1.57</f>
        <v>3528.98</v>
      </c>
      <c r="F63" s="9">
        <v>87.88</v>
      </c>
      <c r="G63" s="9">
        <v>388.19</v>
      </c>
      <c r="H63" s="57">
        <f t="shared" si="2"/>
        <v>1287.8600000000001</v>
      </c>
    </row>
    <row r="64" spans="1:21" x14ac:dyDescent="0.25">
      <c r="A64" s="6" t="s">
        <v>23</v>
      </c>
      <c r="B64" s="7" t="s">
        <v>68</v>
      </c>
      <c r="C64" s="7" t="s">
        <v>96</v>
      </c>
      <c r="D64" s="51">
        <v>1758.99</v>
      </c>
      <c r="E64" s="9">
        <v>3517.98</v>
      </c>
      <c r="F64" s="9">
        <v>114.85</v>
      </c>
      <c r="G64" s="9">
        <v>386.98</v>
      </c>
      <c r="H64" s="57">
        <f t="shared" si="2"/>
        <v>1257.1600000000001</v>
      </c>
    </row>
    <row r="65" spans="1:8" x14ac:dyDescent="0.25">
      <c r="A65" s="7" t="s">
        <v>25</v>
      </c>
      <c r="B65" s="7" t="s">
        <v>73</v>
      </c>
      <c r="C65" s="7" t="s">
        <v>98</v>
      </c>
      <c r="D65" s="51">
        <v>4697.8500000000004</v>
      </c>
      <c r="E65" s="9">
        <v>9395.69</v>
      </c>
      <c r="F65" s="9">
        <v>1557.46</v>
      </c>
      <c r="G65" s="9">
        <v>570.88</v>
      </c>
      <c r="H65" s="57">
        <f t="shared" si="2"/>
        <v>2569.5</v>
      </c>
    </row>
    <row r="66" spans="1:8" x14ac:dyDescent="0.25">
      <c r="A66" s="7" t="s">
        <v>26</v>
      </c>
      <c r="B66" s="7" t="s">
        <v>68</v>
      </c>
      <c r="C66" s="7" t="s">
        <v>96</v>
      </c>
      <c r="D66" s="51">
        <v>1468.07</v>
      </c>
      <c r="E66" s="9">
        <f>3.5+2931.65+0.58</f>
        <v>2935.73</v>
      </c>
      <c r="F66" s="9">
        <v>53.16</v>
      </c>
      <c r="G66" s="9">
        <v>322.93</v>
      </c>
      <c r="H66" s="57">
        <f t="shared" si="2"/>
        <v>1091.57</v>
      </c>
    </row>
    <row r="67" spans="1:8" x14ac:dyDescent="0.25">
      <c r="A67" s="13" t="s">
        <v>27</v>
      </c>
      <c r="B67" s="14" t="s">
        <v>74</v>
      </c>
      <c r="C67" s="14" t="s">
        <v>99</v>
      </c>
      <c r="D67" s="51">
        <v>4697.8500000000004</v>
      </c>
      <c r="E67" s="9">
        <v>9395.69</v>
      </c>
      <c r="F67" s="9">
        <v>1557.46</v>
      </c>
      <c r="G67" s="9">
        <v>570.88</v>
      </c>
      <c r="H67" s="57">
        <f t="shared" si="2"/>
        <v>2569.5</v>
      </c>
    </row>
    <row r="68" spans="1:8" x14ac:dyDescent="0.25">
      <c r="A68" s="13" t="s">
        <v>117</v>
      </c>
      <c r="B68" s="15" t="s">
        <v>75</v>
      </c>
      <c r="C68" s="15" t="s">
        <v>95</v>
      </c>
      <c r="D68" s="51">
        <v>2713.11</v>
      </c>
      <c r="E68" s="9">
        <v>5426.21</v>
      </c>
      <c r="F68" s="9">
        <v>570.71</v>
      </c>
      <c r="G68" s="9"/>
      <c r="H68" s="57">
        <f t="shared" si="2"/>
        <v>2142.39</v>
      </c>
    </row>
    <row r="69" spans="1:8" x14ac:dyDescent="0.25">
      <c r="A69" s="6" t="s">
        <v>29</v>
      </c>
      <c r="B69" s="7" t="s">
        <v>68</v>
      </c>
      <c r="C69" s="7" t="s">
        <v>92</v>
      </c>
      <c r="D69" s="51">
        <v>1775.98</v>
      </c>
      <c r="E69" s="9">
        <f>1.44+25.43+3517.98+0.24+4.24</f>
        <v>3549.3299999999995</v>
      </c>
      <c r="F69" s="9">
        <v>119.04</v>
      </c>
      <c r="G69" s="9">
        <v>390.43</v>
      </c>
      <c r="H69" s="57">
        <f t="shared" si="2"/>
        <v>1263.8799999999994</v>
      </c>
    </row>
    <row r="70" spans="1:8" x14ac:dyDescent="0.25">
      <c r="A70" s="6" t="s">
        <v>30</v>
      </c>
      <c r="B70" s="7" t="s">
        <v>76</v>
      </c>
      <c r="C70" s="7" t="s">
        <v>97</v>
      </c>
      <c r="D70" s="51">
        <v>4036.68</v>
      </c>
      <c r="E70" s="9">
        <f>21.21+8046.12+3.54</f>
        <v>8070.87</v>
      </c>
      <c r="F70" s="9">
        <v>1193.1400000000001</v>
      </c>
      <c r="G70" s="9">
        <v>570.88</v>
      </c>
      <c r="H70" s="57">
        <f t="shared" si="2"/>
        <v>2270.17</v>
      </c>
    </row>
    <row r="71" spans="1:8" x14ac:dyDescent="0.25">
      <c r="A71" s="6" t="s">
        <v>31</v>
      </c>
      <c r="B71" s="7" t="s">
        <v>77</v>
      </c>
      <c r="C71" s="7" t="s">
        <v>96</v>
      </c>
      <c r="D71" s="51">
        <v>4023.06</v>
      </c>
      <c r="E71" s="9">
        <v>8046.12</v>
      </c>
      <c r="F71" s="9">
        <v>1186.33</v>
      </c>
      <c r="G71" s="9">
        <v>570.88</v>
      </c>
      <c r="H71" s="57">
        <f t="shared" si="2"/>
        <v>2265.85</v>
      </c>
    </row>
    <row r="72" spans="1:8" x14ac:dyDescent="0.25">
      <c r="A72" s="6" t="s">
        <v>32</v>
      </c>
      <c r="B72" s="7" t="s">
        <v>78</v>
      </c>
      <c r="C72" s="7" t="s">
        <v>100</v>
      </c>
      <c r="D72" s="51">
        <v>6169.74</v>
      </c>
      <c r="E72" s="9">
        <v>12339.48</v>
      </c>
      <c r="F72" s="9">
        <v>2367.0100000000002</v>
      </c>
      <c r="G72" s="9">
        <v>570.88</v>
      </c>
      <c r="H72" s="57">
        <f t="shared" si="2"/>
        <v>3231.8499999999995</v>
      </c>
    </row>
    <row r="73" spans="1:8" x14ac:dyDescent="0.25">
      <c r="A73" s="6" t="s">
        <v>34</v>
      </c>
      <c r="B73" s="16" t="s">
        <v>79</v>
      </c>
      <c r="C73" s="7" t="s">
        <v>96</v>
      </c>
      <c r="D73" s="51">
        <v>6169.74</v>
      </c>
      <c r="E73" s="9">
        <v>12339.48</v>
      </c>
      <c r="F73" s="9">
        <v>2367.0100000000002</v>
      </c>
      <c r="G73" s="9">
        <v>570.88</v>
      </c>
      <c r="H73" s="57">
        <f t="shared" si="2"/>
        <v>3231.8499999999995</v>
      </c>
    </row>
    <row r="74" spans="1:8" x14ac:dyDescent="0.25">
      <c r="A74" s="6" t="s">
        <v>35</v>
      </c>
      <c r="B74" s="7" t="s">
        <v>80</v>
      </c>
      <c r="C74" s="7" t="s">
        <v>101</v>
      </c>
      <c r="D74" s="51">
        <v>1795.54</v>
      </c>
      <c r="E74" s="9">
        <f>1.44+56.68+3517.98+0.24+9.45</f>
        <v>3585.7899999999995</v>
      </c>
      <c r="F74" s="9">
        <v>123.9</v>
      </c>
      <c r="G74" s="9">
        <v>394.44</v>
      </c>
      <c r="H74" s="57">
        <f t="shared" si="2"/>
        <v>1271.9099999999994</v>
      </c>
    </row>
    <row r="75" spans="1:8" x14ac:dyDescent="0.25">
      <c r="A75" s="6" t="s">
        <v>36</v>
      </c>
      <c r="B75" s="7" t="s">
        <v>68</v>
      </c>
      <c r="C75" s="7" t="s">
        <v>92</v>
      </c>
      <c r="D75" s="51">
        <v>1771.15</v>
      </c>
      <c r="E75" s="9">
        <f>1.44+13.99+3517.98+0.24+2.33</f>
        <v>3535.9799999999996</v>
      </c>
      <c r="F75" s="9">
        <v>117.25</v>
      </c>
      <c r="G75" s="9">
        <v>388.96</v>
      </c>
      <c r="H75" s="57">
        <f t="shared" si="2"/>
        <v>1258.6199999999994</v>
      </c>
    </row>
    <row r="76" spans="1:8" x14ac:dyDescent="0.25">
      <c r="A76" s="6" t="s">
        <v>37</v>
      </c>
      <c r="B76" s="7" t="s">
        <v>77</v>
      </c>
      <c r="C76" s="7" t="s">
        <v>96</v>
      </c>
      <c r="D76" s="51">
        <v>4031.86</v>
      </c>
      <c r="E76" s="9">
        <f>13.72+8046.12+2.29</f>
        <v>8062.13</v>
      </c>
      <c r="F76" s="9">
        <v>1190.73</v>
      </c>
      <c r="G76" s="9">
        <v>570.88</v>
      </c>
      <c r="H76" s="57">
        <f t="shared" si="2"/>
        <v>2268.66</v>
      </c>
    </row>
    <row r="77" spans="1:8" x14ac:dyDescent="0.25">
      <c r="A77" s="6" t="s">
        <v>38</v>
      </c>
      <c r="B77" s="17" t="s">
        <v>81</v>
      </c>
      <c r="C77" s="7" t="s">
        <v>98</v>
      </c>
      <c r="D77" s="51">
        <v>1980.87</v>
      </c>
      <c r="E77" s="9">
        <v>3961.74</v>
      </c>
      <c r="F77" s="9">
        <v>174.09</v>
      </c>
      <c r="G77" s="9">
        <v>435.79</v>
      </c>
      <c r="H77" s="57">
        <f t="shared" si="2"/>
        <v>1370.99</v>
      </c>
    </row>
    <row r="78" spans="1:8" x14ac:dyDescent="0.25">
      <c r="A78" s="13" t="s">
        <v>40</v>
      </c>
      <c r="B78" s="15" t="s">
        <v>69</v>
      </c>
      <c r="C78" s="7" t="s">
        <v>100</v>
      </c>
      <c r="D78" s="51">
        <v>1758.99</v>
      </c>
      <c r="E78" s="9">
        <f>3517.98+5.36+0.89</f>
        <v>3524.23</v>
      </c>
      <c r="F78" s="9">
        <v>115.68</v>
      </c>
      <c r="G78" s="9">
        <v>387.67</v>
      </c>
      <c r="H78" s="57">
        <f t="shared" si="2"/>
        <v>1261.8899999999999</v>
      </c>
    </row>
    <row r="79" spans="1:8" x14ac:dyDescent="0.25">
      <c r="A79" s="6" t="s">
        <v>41</v>
      </c>
      <c r="B79" s="7" t="s">
        <v>77</v>
      </c>
      <c r="C79" s="7" t="s">
        <v>96</v>
      </c>
      <c r="D79" s="51">
        <v>4027.75</v>
      </c>
      <c r="E79" s="9">
        <f>7.31+8046.12+1.22</f>
        <v>8054.6500000000005</v>
      </c>
      <c r="F79" s="9">
        <v>1188.68</v>
      </c>
      <c r="G79" s="9">
        <v>570.88</v>
      </c>
      <c r="H79" s="57">
        <f t="shared" si="2"/>
        <v>2267.34</v>
      </c>
    </row>
    <row r="80" spans="1:8" x14ac:dyDescent="0.25">
      <c r="A80" s="6" t="s">
        <v>43</v>
      </c>
      <c r="B80" s="7" t="s">
        <v>76</v>
      </c>
      <c r="C80" s="7" t="s">
        <v>97</v>
      </c>
      <c r="D80" s="51">
        <v>4030.46</v>
      </c>
      <c r="E80" s="9">
        <f>11.52+8046.12+1.92</f>
        <v>8059.56</v>
      </c>
      <c r="F80" s="9">
        <v>1190.03</v>
      </c>
      <c r="G80" s="9">
        <v>570.88</v>
      </c>
      <c r="H80" s="57">
        <f t="shared" si="2"/>
        <v>2268.1900000000005</v>
      </c>
    </row>
    <row r="81" spans="1:8" x14ac:dyDescent="0.25">
      <c r="A81" s="7" t="s">
        <v>44</v>
      </c>
      <c r="B81" s="7" t="s">
        <v>69</v>
      </c>
      <c r="C81" s="7" t="s">
        <v>100</v>
      </c>
      <c r="D81" s="51">
        <v>1783.38</v>
      </c>
      <c r="E81" s="9">
        <f>3.32+3517.98+38.38+6.95</f>
        <v>3566.63</v>
      </c>
      <c r="F81" s="9">
        <v>121.35</v>
      </c>
      <c r="G81" s="9">
        <v>392.33</v>
      </c>
      <c r="H81" s="57">
        <f t="shared" si="2"/>
        <v>1269.5700000000002</v>
      </c>
    </row>
    <row r="82" spans="1:8" x14ac:dyDescent="0.25">
      <c r="A82" s="7" t="s">
        <v>45</v>
      </c>
      <c r="B82" s="7" t="s">
        <v>82</v>
      </c>
      <c r="C82" s="7" t="s">
        <v>97</v>
      </c>
      <c r="D82" s="51">
        <v>6169.74</v>
      </c>
      <c r="E82" s="9">
        <v>12339.48</v>
      </c>
      <c r="F82" s="9">
        <v>2367.0100000000002</v>
      </c>
      <c r="G82" s="9">
        <v>570.88</v>
      </c>
      <c r="H82" s="57">
        <f t="shared" si="2"/>
        <v>3231.8499999999995</v>
      </c>
    </row>
    <row r="83" spans="1:8" x14ac:dyDescent="0.25">
      <c r="A83" s="7" t="s">
        <v>46</v>
      </c>
      <c r="B83" s="7" t="s">
        <v>83</v>
      </c>
      <c r="C83" s="7" t="s">
        <v>94</v>
      </c>
      <c r="D83" s="51">
        <v>1774.78</v>
      </c>
      <c r="E83" s="9">
        <f>1.44+20.15+3517.98+0.24+3.36</f>
        <v>3543.17</v>
      </c>
      <c r="F83" s="9">
        <v>118.21</v>
      </c>
      <c r="G83" s="9">
        <v>389.75</v>
      </c>
      <c r="H83" s="57">
        <f t="shared" si="2"/>
        <v>1260.43</v>
      </c>
    </row>
    <row r="84" spans="1:8" x14ac:dyDescent="0.25">
      <c r="A84" s="7" t="s">
        <v>47</v>
      </c>
      <c r="B84" s="7" t="s">
        <v>84</v>
      </c>
      <c r="C84" s="7" t="s">
        <v>95</v>
      </c>
      <c r="D84" s="51">
        <v>6169.74</v>
      </c>
      <c r="E84" s="9">
        <v>12339.48</v>
      </c>
      <c r="F84" s="9">
        <v>2367.0100000000002</v>
      </c>
      <c r="G84" s="9">
        <v>570.88</v>
      </c>
      <c r="H84" s="57">
        <f t="shared" si="2"/>
        <v>3231.8499999999995</v>
      </c>
    </row>
    <row r="85" spans="1:8" x14ac:dyDescent="0.25">
      <c r="A85" s="7" t="s">
        <v>48</v>
      </c>
      <c r="B85" s="7" t="s">
        <v>85</v>
      </c>
      <c r="C85" s="7" t="s">
        <v>102</v>
      </c>
      <c r="D85" s="51">
        <v>4697.8500000000004</v>
      </c>
      <c r="E85" s="9">
        <v>9395.69</v>
      </c>
      <c r="F85" s="9">
        <v>1557.46</v>
      </c>
      <c r="G85" s="9">
        <v>570.88</v>
      </c>
      <c r="H85" s="57">
        <f t="shared" si="2"/>
        <v>2569.5</v>
      </c>
    </row>
    <row r="86" spans="1:8" x14ac:dyDescent="0.25">
      <c r="A86" s="7" t="s">
        <v>49</v>
      </c>
      <c r="B86" s="7" t="s">
        <v>86</v>
      </c>
      <c r="C86" s="7" t="s">
        <v>102</v>
      </c>
      <c r="D86" s="51">
        <v>3510.17</v>
      </c>
      <c r="E86" s="9">
        <f>138.39+6791.55+46.31+30.78</f>
        <v>7007.0300000000007</v>
      </c>
      <c r="F86" s="9">
        <v>900.58</v>
      </c>
      <c r="G86" s="9">
        <v>570.88</v>
      </c>
      <c r="H86" s="57">
        <f t="shared" si="2"/>
        <v>2025.4000000000005</v>
      </c>
    </row>
    <row r="87" spans="1:8" x14ac:dyDescent="0.25">
      <c r="A87" s="7" t="s">
        <v>50</v>
      </c>
      <c r="B87" s="7" t="s">
        <v>80</v>
      </c>
      <c r="C87" s="7" t="s">
        <v>101</v>
      </c>
      <c r="D87" s="51">
        <v>1801.41</v>
      </c>
      <c r="E87" s="9">
        <f>45.85+3517.98+20.26+11.02</f>
        <v>3595.11</v>
      </c>
      <c r="F87" s="9">
        <v>125.15</v>
      </c>
      <c r="G87" s="9">
        <v>395.46</v>
      </c>
      <c r="H87" s="57">
        <f t="shared" si="2"/>
        <v>1273.0899999999999</v>
      </c>
    </row>
    <row r="88" spans="1:8" x14ac:dyDescent="0.25">
      <c r="A88" s="6" t="s">
        <v>51</v>
      </c>
      <c r="B88" s="7" t="s">
        <v>68</v>
      </c>
      <c r="C88" s="7" t="s">
        <v>92</v>
      </c>
      <c r="D88" s="51">
        <v>1764.66</v>
      </c>
      <c r="E88" s="9">
        <f>8.83+3517.98+1.47</f>
        <v>3528.2799999999997</v>
      </c>
      <c r="F88" s="9">
        <v>116.23</v>
      </c>
      <c r="G88" s="9">
        <v>388.11</v>
      </c>
      <c r="H88" s="57">
        <f t="shared" si="2"/>
        <v>1259.2799999999997</v>
      </c>
    </row>
    <row r="89" spans="1:8" x14ac:dyDescent="0.25">
      <c r="A89" s="7" t="s">
        <v>53</v>
      </c>
      <c r="B89" s="7" t="s">
        <v>68</v>
      </c>
      <c r="C89" s="7" t="s">
        <v>92</v>
      </c>
      <c r="D89" s="51">
        <v>1782.94</v>
      </c>
      <c r="E89" s="9">
        <f>1.44+35.9+3517.98+0.24+5.98</f>
        <v>3561.54</v>
      </c>
      <c r="F89" s="9">
        <v>120.67</v>
      </c>
      <c r="G89" s="9">
        <v>391.77</v>
      </c>
      <c r="H89" s="57">
        <f t="shared" si="2"/>
        <v>1266.1599999999999</v>
      </c>
    </row>
    <row r="90" spans="1:8" x14ac:dyDescent="0.25">
      <c r="A90" s="7" t="s">
        <v>137</v>
      </c>
      <c r="B90" s="7" t="s">
        <v>69</v>
      </c>
      <c r="C90" s="7" t="s">
        <v>100</v>
      </c>
      <c r="D90" s="51">
        <v>293.17</v>
      </c>
      <c r="E90" s="9">
        <v>586.33000000000004</v>
      </c>
      <c r="F90" s="9"/>
      <c r="G90" s="9">
        <v>46.91</v>
      </c>
      <c r="H90" s="57">
        <f t="shared" si="2"/>
        <v>246.25000000000003</v>
      </c>
    </row>
    <row r="91" spans="1:8" x14ac:dyDescent="0.25">
      <c r="A91" s="7" t="s">
        <v>54</v>
      </c>
      <c r="B91" s="7" t="s">
        <v>76</v>
      </c>
      <c r="C91" s="7" t="s">
        <v>97</v>
      </c>
      <c r="D91" s="51">
        <v>2691.7</v>
      </c>
      <c r="E91" s="9">
        <f>18.69+5364.08+3.12</f>
        <v>5385.8899999999994</v>
      </c>
      <c r="F91" s="9">
        <v>404.59</v>
      </c>
      <c r="G91" s="9">
        <v>570.88</v>
      </c>
      <c r="H91" s="57">
        <f t="shared" si="2"/>
        <v>1718.7199999999996</v>
      </c>
    </row>
    <row r="92" spans="1:8" x14ac:dyDescent="0.25">
      <c r="A92" s="6" t="s">
        <v>55</v>
      </c>
      <c r="B92" s="7" t="s">
        <v>76</v>
      </c>
      <c r="C92" s="7" t="s">
        <v>97</v>
      </c>
      <c r="D92" s="51">
        <v>4037.9</v>
      </c>
      <c r="E92" s="9">
        <f>23.13+8046.12+3.86</f>
        <v>8073.11</v>
      </c>
      <c r="F92" s="9">
        <v>1193.75</v>
      </c>
      <c r="G92" s="9">
        <v>570.88</v>
      </c>
      <c r="H92" s="57">
        <f t="shared" si="2"/>
        <v>2270.5799999999995</v>
      </c>
    </row>
    <row r="93" spans="1:8" x14ac:dyDescent="0.25">
      <c r="A93" s="6" t="s">
        <v>57</v>
      </c>
      <c r="B93" s="7" t="s">
        <v>76</v>
      </c>
      <c r="C93" s="7" t="s">
        <v>96</v>
      </c>
      <c r="D93" s="51">
        <v>4052.69</v>
      </c>
      <c r="E93" s="9">
        <f>3.29+81.29+8046.12+0.55+13.55</f>
        <v>8144.8</v>
      </c>
      <c r="F93" s="9">
        <v>1213.47</v>
      </c>
      <c r="G93" s="9">
        <v>570.88</v>
      </c>
      <c r="H93" s="57">
        <f t="shared" si="2"/>
        <v>2307.7600000000002</v>
      </c>
    </row>
    <row r="94" spans="1:8" x14ac:dyDescent="0.25">
      <c r="A94" s="6" t="s">
        <v>58</v>
      </c>
      <c r="B94" s="7" t="s">
        <v>68</v>
      </c>
      <c r="C94" s="7" t="s">
        <v>92</v>
      </c>
      <c r="D94" s="51">
        <v>1766.5</v>
      </c>
      <c r="E94" s="9">
        <f>11.71+3517.98+1.95</f>
        <v>3531.64</v>
      </c>
      <c r="F94" s="9">
        <v>64.5</v>
      </c>
      <c r="G94" s="9">
        <v>388.48</v>
      </c>
      <c r="H94" s="57">
        <f t="shared" si="2"/>
        <v>1312.1599999999999</v>
      </c>
    </row>
    <row r="95" spans="1:8" x14ac:dyDescent="0.25">
      <c r="A95" s="6" t="s">
        <v>59</v>
      </c>
      <c r="B95" s="7" t="s">
        <v>76</v>
      </c>
      <c r="C95" s="7" t="s">
        <v>96</v>
      </c>
      <c r="D95" s="51">
        <v>4036.68</v>
      </c>
      <c r="E95" s="9">
        <f>21.21+8046.12+3.54</f>
        <v>8070.87</v>
      </c>
      <c r="F95" s="9">
        <v>1193.1400000000001</v>
      </c>
      <c r="G95" s="9">
        <v>570.88</v>
      </c>
      <c r="H95" s="57">
        <f t="shared" si="2"/>
        <v>2270.17</v>
      </c>
    </row>
    <row r="96" spans="1:8" x14ac:dyDescent="0.25">
      <c r="A96" s="6" t="s">
        <v>60</v>
      </c>
      <c r="B96" s="7" t="s">
        <v>87</v>
      </c>
      <c r="C96" s="7" t="s">
        <v>94</v>
      </c>
      <c r="D96" s="51">
        <v>3398.6</v>
      </c>
      <c r="E96" s="9">
        <f>12.34+6791.55+2.06</f>
        <v>6805.9500000000007</v>
      </c>
      <c r="F96" s="9">
        <v>845.28</v>
      </c>
      <c r="G96" s="9">
        <v>570.88</v>
      </c>
      <c r="H96" s="57">
        <f t="shared" si="2"/>
        <v>1991.1900000000007</v>
      </c>
    </row>
    <row r="97" spans="1:8" x14ac:dyDescent="0.25">
      <c r="A97" s="6" t="s">
        <v>61</v>
      </c>
      <c r="B97" s="7" t="s">
        <v>88</v>
      </c>
      <c r="C97" s="7" t="s">
        <v>93</v>
      </c>
      <c r="D97" s="51">
        <v>4722.51</v>
      </c>
      <c r="E97" s="9">
        <f>9395.69+38.44+6.41</f>
        <v>9440.5400000000009</v>
      </c>
      <c r="F97" s="9">
        <v>1569.8</v>
      </c>
      <c r="G97" s="9">
        <v>570.88</v>
      </c>
      <c r="H97" s="57">
        <f t="shared" si="2"/>
        <v>2577.3500000000004</v>
      </c>
    </row>
    <row r="98" spans="1:8" x14ac:dyDescent="0.25">
      <c r="A98" s="7" t="s">
        <v>62</v>
      </c>
      <c r="B98" s="7" t="s">
        <v>83</v>
      </c>
      <c r="C98" s="7" t="s">
        <v>94</v>
      </c>
      <c r="D98" s="51">
        <v>1758.99</v>
      </c>
      <c r="E98" s="9">
        <f>1.76+3517.98+0.29</f>
        <v>3520.03</v>
      </c>
      <c r="F98" s="9">
        <v>115.12</v>
      </c>
      <c r="G98" s="9">
        <v>387.2</v>
      </c>
      <c r="H98" s="57">
        <f t="shared" si="2"/>
        <v>1258.7200000000003</v>
      </c>
    </row>
    <row r="99" spans="1:8" x14ac:dyDescent="0.25">
      <c r="A99" s="7" t="s">
        <v>63</v>
      </c>
      <c r="B99" s="7" t="s">
        <v>89</v>
      </c>
      <c r="C99" s="7" t="s">
        <v>98</v>
      </c>
      <c r="D99" s="51">
        <v>3395.78</v>
      </c>
      <c r="E99" s="9">
        <v>6791.55</v>
      </c>
      <c r="F99" s="9">
        <v>841.32</v>
      </c>
      <c r="G99" s="9">
        <v>570.88</v>
      </c>
      <c r="H99" s="57">
        <f t="shared" si="2"/>
        <v>1983.5699999999997</v>
      </c>
    </row>
    <row r="100" spans="1:8" x14ac:dyDescent="0.25">
      <c r="A100" s="6" t="s">
        <v>64</v>
      </c>
      <c r="B100" s="7" t="s">
        <v>68</v>
      </c>
      <c r="C100" s="7" t="s">
        <v>96</v>
      </c>
      <c r="D100" s="51">
        <v>1762.5</v>
      </c>
      <c r="E100" s="9">
        <f>5.47+3517.98+0.91</f>
        <v>3524.3599999999997</v>
      </c>
      <c r="F100" s="9">
        <v>115.7</v>
      </c>
      <c r="G100" s="9">
        <v>387.68</v>
      </c>
      <c r="H100" s="57">
        <f t="shared" si="2"/>
        <v>1258.4799999999996</v>
      </c>
    </row>
    <row r="101" spans="1:8" ht="15.75" thickBot="1" x14ac:dyDescent="0.3">
      <c r="A101" s="7" t="s">
        <v>65</v>
      </c>
      <c r="B101" s="7" t="s">
        <v>90</v>
      </c>
      <c r="C101" s="7" t="s">
        <v>100</v>
      </c>
      <c r="D101" s="51">
        <v>3399.37</v>
      </c>
      <c r="E101" s="9">
        <f>4.47+6791.55+0.75</f>
        <v>6796.77</v>
      </c>
      <c r="F101" s="9">
        <v>842.76</v>
      </c>
      <c r="G101" s="9">
        <v>570.88</v>
      </c>
      <c r="H101" s="58">
        <f t="shared" si="2"/>
        <v>1983.7600000000004</v>
      </c>
    </row>
    <row r="102" spans="1:8" ht="15.75" thickBot="1" x14ac:dyDescent="0.3">
      <c r="H102" s="59">
        <f>SUM(H59:H101)</f>
        <v>81271.44</v>
      </c>
    </row>
  </sheetData>
  <autoFilter ref="A4:U101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</filters>
    </filterColumn>
  </autoFilter>
  <pageMargins left="0.51181102362204722" right="0.51181102362204722" top="0.78740157480314965" bottom="0.78740157480314965" header="0.31496062992125984" footer="0.31496062992125984"/>
  <pageSetup paperSize="9" scale="3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9"/>
  <sheetViews>
    <sheetView showGridLines="0" zoomScaleNormal="100" workbookViewId="0"/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bestFit="1" customWidth="1"/>
    <col min="5" max="5" width="18.42578125" style="2" bestFit="1" customWidth="1"/>
    <col min="6" max="6" width="19.140625" style="2" customWidth="1"/>
    <col min="7" max="7" width="12.28515625" style="2" customWidth="1"/>
    <col min="8" max="9" width="22" style="2" hidden="1" customWidth="1"/>
    <col min="10" max="10" width="22" style="2" customWidth="1"/>
    <col min="11" max="11" width="19.7109375" style="2" customWidth="1"/>
    <col min="12" max="12" width="22.42578125" style="2" customWidth="1"/>
    <col min="13" max="13" width="15.28515625" style="2" customWidth="1"/>
    <col min="14" max="14" width="20.28515625" style="2" customWidth="1"/>
    <col min="15" max="15" width="13" style="2" bestFit="1" customWidth="1"/>
    <col min="16" max="16" width="12.140625" style="2" bestFit="1" customWidth="1"/>
    <col min="17" max="17" width="18.85546875" style="2" bestFit="1" customWidth="1"/>
    <col min="18" max="18" width="11.42578125" style="2" bestFit="1" customWidth="1"/>
    <col min="19" max="19" width="17.5703125" style="2" bestFit="1" customWidth="1"/>
    <col min="20" max="20" width="14.85546875" style="2" bestFit="1" customWidth="1"/>
    <col min="21" max="16384" width="9.140625" style="2"/>
  </cols>
  <sheetData>
    <row r="1" spans="1:20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.75" x14ac:dyDescent="0.3">
      <c r="A2" s="4" t="s">
        <v>122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29" t="s">
        <v>107</v>
      </c>
      <c r="I4" s="29" t="s">
        <v>103</v>
      </c>
      <c r="J4" s="32" t="s">
        <v>6</v>
      </c>
      <c r="K4" s="32" t="s">
        <v>8</v>
      </c>
      <c r="L4" s="32" t="s">
        <v>126</v>
      </c>
      <c r="M4" s="32" t="s">
        <v>9</v>
      </c>
      <c r="N4" s="32" t="s">
        <v>10</v>
      </c>
      <c r="O4" s="32" t="s">
        <v>11</v>
      </c>
      <c r="P4" s="32" t="s">
        <v>12</v>
      </c>
      <c r="Q4" s="32" t="s">
        <v>13</v>
      </c>
      <c r="R4" s="32" t="s">
        <v>103</v>
      </c>
      <c r="S4" s="32" t="s">
        <v>14</v>
      </c>
      <c r="T4" s="32" t="s">
        <v>15</v>
      </c>
    </row>
    <row r="5" spans="1:20" x14ac:dyDescent="0.25">
      <c r="A5" s="6" t="s">
        <v>17</v>
      </c>
      <c r="B5" s="7" t="s">
        <v>68</v>
      </c>
      <c r="C5" s="7" t="s">
        <v>92</v>
      </c>
      <c r="D5" s="19">
        <v>3203.09</v>
      </c>
      <c r="E5" s="9"/>
      <c r="F5" s="9"/>
      <c r="G5" s="9"/>
      <c r="H5" s="9">
        <v>450</v>
      </c>
      <c r="I5" s="9">
        <v>360</v>
      </c>
      <c r="J5" s="19">
        <f t="shared" ref="J5:J55" si="0">H5+I5</f>
        <v>810</v>
      </c>
      <c r="K5" s="9"/>
      <c r="L5" s="9"/>
      <c r="M5" s="9"/>
      <c r="N5" s="19">
        <f t="shared" ref="N5:N55" si="1">D5+E5+F5+G5+J5+K5+L5+M5</f>
        <v>4013.09</v>
      </c>
      <c r="O5" s="9">
        <v>72.81</v>
      </c>
      <c r="P5" s="9">
        <v>352.34</v>
      </c>
      <c r="Q5" s="9">
        <v>32.03</v>
      </c>
      <c r="R5" s="9">
        <v>115.31</v>
      </c>
      <c r="S5" s="19">
        <f t="shared" ref="S5:S55" si="2">O5+P5+Q5+R5</f>
        <v>572.49</v>
      </c>
      <c r="T5" s="19">
        <f t="shared" ref="T5:T55" si="3">N5-S5</f>
        <v>3440.6000000000004</v>
      </c>
    </row>
    <row r="6" spans="1:20" x14ac:dyDescent="0.25">
      <c r="A6" s="6" t="s">
        <v>18</v>
      </c>
      <c r="B6" s="7" t="s">
        <v>69</v>
      </c>
      <c r="C6" s="7" t="s">
        <v>93</v>
      </c>
      <c r="D6" s="19">
        <v>3203.09</v>
      </c>
      <c r="E6" s="9"/>
      <c r="F6" s="9"/>
      <c r="G6" s="9">
        <f>7.21+43.24</f>
        <v>50.45</v>
      </c>
      <c r="H6" s="9">
        <v>450</v>
      </c>
      <c r="I6" s="9"/>
      <c r="J6" s="19">
        <f t="shared" si="0"/>
        <v>450</v>
      </c>
      <c r="K6" s="9"/>
      <c r="L6" s="9"/>
      <c r="M6" s="9"/>
      <c r="N6" s="19">
        <f t="shared" si="1"/>
        <v>3703.54</v>
      </c>
      <c r="O6" s="9">
        <v>45.94</v>
      </c>
      <c r="P6" s="9">
        <v>357.89</v>
      </c>
      <c r="Q6" s="9"/>
      <c r="R6" s="9"/>
      <c r="S6" s="19">
        <f t="shared" si="2"/>
        <v>403.83</v>
      </c>
      <c r="T6" s="19">
        <f t="shared" si="3"/>
        <v>3299.71</v>
      </c>
    </row>
    <row r="7" spans="1:20" x14ac:dyDescent="0.25">
      <c r="A7" s="10" t="s">
        <v>19</v>
      </c>
      <c r="B7" s="11" t="s">
        <v>70</v>
      </c>
      <c r="C7" s="11" t="s">
        <v>94</v>
      </c>
      <c r="D7" s="19">
        <v>3745</v>
      </c>
      <c r="E7" s="9">
        <v>7115.5</v>
      </c>
      <c r="F7" s="9"/>
      <c r="G7" s="9"/>
      <c r="H7" s="9">
        <v>125</v>
      </c>
      <c r="I7" s="9"/>
      <c r="J7" s="19">
        <f t="shared" si="0"/>
        <v>125</v>
      </c>
      <c r="K7" s="22">
        <v>2371.83</v>
      </c>
      <c r="L7" s="9"/>
      <c r="M7" s="9"/>
      <c r="N7" s="19">
        <f t="shared" si="1"/>
        <v>13357.33</v>
      </c>
      <c r="O7" s="9">
        <f>178.51+1667.84</f>
        <v>1846.35</v>
      </c>
      <c r="P7" s="9">
        <v>570.88</v>
      </c>
      <c r="Q7" s="9"/>
      <c r="R7" s="9"/>
      <c r="S7" s="19">
        <f t="shared" si="2"/>
        <v>2417.23</v>
      </c>
      <c r="T7" s="19">
        <f t="shared" si="3"/>
        <v>10940.1</v>
      </c>
    </row>
    <row r="8" spans="1:20" x14ac:dyDescent="0.25">
      <c r="A8" s="10" t="s">
        <v>20</v>
      </c>
      <c r="B8" s="11" t="s">
        <v>71</v>
      </c>
      <c r="C8" s="11" t="s">
        <v>95</v>
      </c>
      <c r="D8" s="19">
        <v>4688.79</v>
      </c>
      <c r="E8" s="9"/>
      <c r="F8" s="9"/>
      <c r="G8" s="9"/>
      <c r="H8" s="9">
        <v>450</v>
      </c>
      <c r="I8" s="9">
        <v>136.80000000000001</v>
      </c>
      <c r="J8" s="19">
        <f t="shared" si="0"/>
        <v>586.79999999999995</v>
      </c>
      <c r="K8" s="9"/>
      <c r="L8" s="9"/>
      <c r="M8" s="9"/>
      <c r="N8" s="19">
        <f t="shared" si="1"/>
        <v>5275.59</v>
      </c>
      <c r="O8" s="9">
        <v>217.48</v>
      </c>
      <c r="P8" s="9">
        <v>515.77</v>
      </c>
      <c r="Q8" s="9"/>
      <c r="R8" s="9">
        <v>136.80000000000001</v>
      </c>
      <c r="S8" s="19">
        <f t="shared" si="2"/>
        <v>870.05</v>
      </c>
      <c r="T8" s="19">
        <f t="shared" si="3"/>
        <v>4405.54</v>
      </c>
    </row>
    <row r="9" spans="1:20" hidden="1" x14ac:dyDescent="0.25">
      <c r="A9" s="6" t="s">
        <v>21</v>
      </c>
      <c r="B9" s="7" t="s">
        <v>72</v>
      </c>
      <c r="C9" s="7" t="s">
        <v>96</v>
      </c>
      <c r="D9" s="19">
        <v>1191.76</v>
      </c>
      <c r="E9" s="9"/>
      <c r="F9" s="9"/>
      <c r="G9" s="9"/>
      <c r="H9" s="9">
        <v>450</v>
      </c>
      <c r="I9" s="9">
        <v>234</v>
      </c>
      <c r="J9" s="19">
        <f t="shared" si="0"/>
        <v>684</v>
      </c>
      <c r="K9" s="9"/>
      <c r="L9" s="9"/>
      <c r="M9" s="9"/>
      <c r="N9" s="19">
        <f t="shared" si="1"/>
        <v>1875.76</v>
      </c>
      <c r="O9" s="9"/>
      <c r="P9" s="9"/>
      <c r="Q9" s="9"/>
      <c r="R9" s="9"/>
      <c r="S9" s="19">
        <f t="shared" si="2"/>
        <v>0</v>
      </c>
      <c r="T9" s="19">
        <f t="shared" si="3"/>
        <v>1875.76</v>
      </c>
    </row>
    <row r="10" spans="1:20" x14ac:dyDescent="0.25">
      <c r="A10" s="7" t="s">
        <v>22</v>
      </c>
      <c r="B10" s="7" t="s">
        <v>68</v>
      </c>
      <c r="C10" s="7" t="s">
        <v>92</v>
      </c>
      <c r="D10" s="19">
        <v>3203.09</v>
      </c>
      <c r="E10" s="9"/>
      <c r="F10" s="9"/>
      <c r="G10" s="9"/>
      <c r="H10" s="9">
        <v>450</v>
      </c>
      <c r="I10" s="9">
        <v>234</v>
      </c>
      <c r="J10" s="19">
        <f t="shared" si="0"/>
        <v>684</v>
      </c>
      <c r="K10" s="9"/>
      <c r="L10" s="9"/>
      <c r="M10" s="9"/>
      <c r="N10" s="19">
        <f t="shared" si="1"/>
        <v>3887.09</v>
      </c>
      <c r="O10" s="9">
        <v>56.79</v>
      </c>
      <c r="P10" s="9">
        <v>352.34</v>
      </c>
      <c r="Q10" s="9">
        <v>32.03</v>
      </c>
      <c r="R10" s="9">
        <v>115.31</v>
      </c>
      <c r="S10" s="19">
        <f t="shared" si="2"/>
        <v>556.47</v>
      </c>
      <c r="T10" s="19">
        <f t="shared" si="3"/>
        <v>3330.62</v>
      </c>
    </row>
    <row r="11" spans="1:20" x14ac:dyDescent="0.25">
      <c r="A11" s="6" t="s">
        <v>23</v>
      </c>
      <c r="B11" s="7" t="s">
        <v>68</v>
      </c>
      <c r="C11" s="7" t="s">
        <v>96</v>
      </c>
      <c r="D11" s="19">
        <v>3203.09</v>
      </c>
      <c r="E11" s="9"/>
      <c r="F11" s="9"/>
      <c r="G11" s="9"/>
      <c r="H11" s="9">
        <v>450</v>
      </c>
      <c r="I11" s="9">
        <v>136.80000000000001</v>
      </c>
      <c r="J11" s="19">
        <f t="shared" si="0"/>
        <v>586.79999999999995</v>
      </c>
      <c r="K11" s="9"/>
      <c r="L11" s="9"/>
      <c r="M11" s="9"/>
      <c r="N11" s="19">
        <f t="shared" si="1"/>
        <v>3789.8900000000003</v>
      </c>
      <c r="O11" s="9">
        <v>72.81</v>
      </c>
      <c r="P11" s="9">
        <v>352.34</v>
      </c>
      <c r="Q11" s="9">
        <v>32.03</v>
      </c>
      <c r="R11" s="9">
        <v>115.31</v>
      </c>
      <c r="S11" s="19">
        <f t="shared" si="2"/>
        <v>572.49</v>
      </c>
      <c r="T11" s="19">
        <f t="shared" si="3"/>
        <v>3217.4000000000005</v>
      </c>
    </row>
    <row r="12" spans="1:20" hidden="1" x14ac:dyDescent="0.25">
      <c r="A12" s="6" t="s">
        <v>24</v>
      </c>
      <c r="B12" s="7" t="s">
        <v>72</v>
      </c>
      <c r="C12" s="7" t="s">
        <v>97</v>
      </c>
      <c r="D12" s="19">
        <v>1191.76</v>
      </c>
      <c r="E12" s="9"/>
      <c r="F12" s="9"/>
      <c r="G12" s="9"/>
      <c r="H12" s="9">
        <v>450</v>
      </c>
      <c r="I12" s="9">
        <v>270</v>
      </c>
      <c r="J12" s="19">
        <f t="shared" si="0"/>
        <v>720</v>
      </c>
      <c r="K12" s="9"/>
      <c r="L12" s="9"/>
      <c r="M12" s="9"/>
      <c r="N12" s="19">
        <f t="shared" si="1"/>
        <v>1911.76</v>
      </c>
      <c r="O12" s="9"/>
      <c r="P12" s="9"/>
      <c r="Q12" s="9"/>
      <c r="R12" s="9"/>
      <c r="S12" s="19">
        <f t="shared" si="2"/>
        <v>0</v>
      </c>
      <c r="T12" s="19">
        <f t="shared" si="3"/>
        <v>1911.76</v>
      </c>
    </row>
    <row r="13" spans="1:20" hidden="1" x14ac:dyDescent="0.25">
      <c r="A13" s="7" t="s">
        <v>105</v>
      </c>
      <c r="B13" s="7" t="s">
        <v>72</v>
      </c>
      <c r="C13" s="7" t="s">
        <v>100</v>
      </c>
      <c r="D13" s="19">
        <v>1191.76</v>
      </c>
      <c r="E13" s="9"/>
      <c r="F13" s="9"/>
      <c r="G13" s="9"/>
      <c r="H13" s="9">
        <v>325</v>
      </c>
      <c r="I13" s="19">
        <v>98.8</v>
      </c>
      <c r="J13" s="19">
        <f t="shared" si="0"/>
        <v>423.8</v>
      </c>
      <c r="K13" s="9"/>
      <c r="L13" s="9"/>
      <c r="M13" s="9"/>
      <c r="N13" s="19">
        <f t="shared" si="1"/>
        <v>1615.56</v>
      </c>
      <c r="O13" s="9"/>
      <c r="P13" s="9"/>
      <c r="Q13" s="9"/>
      <c r="R13" s="9"/>
      <c r="S13" s="19">
        <f t="shared" si="2"/>
        <v>0</v>
      </c>
      <c r="T13" s="19">
        <f t="shared" si="3"/>
        <v>1615.56</v>
      </c>
    </row>
    <row r="14" spans="1:20" x14ac:dyDescent="0.25">
      <c r="A14" s="7" t="s">
        <v>25</v>
      </c>
      <c r="B14" s="7" t="s">
        <v>73</v>
      </c>
      <c r="C14" s="7" t="s">
        <v>98</v>
      </c>
      <c r="D14" s="19">
        <v>8554.7000000000007</v>
      </c>
      <c r="E14" s="12"/>
      <c r="F14" s="9"/>
      <c r="G14" s="9"/>
      <c r="H14" s="9">
        <v>450</v>
      </c>
      <c r="I14" s="9"/>
      <c r="J14" s="19">
        <f t="shared" si="0"/>
        <v>450</v>
      </c>
      <c r="K14" s="12"/>
      <c r="L14" s="9"/>
      <c r="M14" s="9"/>
      <c r="N14" s="19">
        <f t="shared" si="1"/>
        <v>9004.7000000000007</v>
      </c>
      <c r="O14" s="9">
        <v>1326.19</v>
      </c>
      <c r="P14" s="9">
        <v>570.88</v>
      </c>
      <c r="Q14" s="9"/>
      <c r="R14" s="9"/>
      <c r="S14" s="19">
        <f t="shared" si="2"/>
        <v>1897.0700000000002</v>
      </c>
      <c r="T14" s="19">
        <f t="shared" si="3"/>
        <v>7107.630000000001</v>
      </c>
    </row>
    <row r="15" spans="1:20" x14ac:dyDescent="0.25">
      <c r="A15" s="7" t="s">
        <v>26</v>
      </c>
      <c r="B15" s="7" t="s">
        <v>68</v>
      </c>
      <c r="C15" s="7" t="s">
        <v>96</v>
      </c>
      <c r="D15" s="19">
        <v>1921.85</v>
      </c>
      <c r="E15" s="9">
        <v>1281.23</v>
      </c>
      <c r="F15" s="9"/>
      <c r="G15" s="9"/>
      <c r="H15" s="9">
        <v>275</v>
      </c>
      <c r="I15" s="9">
        <v>165</v>
      </c>
      <c r="J15" s="19">
        <f t="shared" si="0"/>
        <v>440</v>
      </c>
      <c r="K15" s="9">
        <v>427.08</v>
      </c>
      <c r="L15" s="9"/>
      <c r="M15" s="9"/>
      <c r="N15" s="19">
        <f t="shared" si="1"/>
        <v>4070.16</v>
      </c>
      <c r="O15" s="9"/>
      <c r="P15" s="9">
        <f>245.57+153.75</f>
        <v>399.32</v>
      </c>
      <c r="Q15" s="9"/>
      <c r="R15" s="9">
        <v>70.47</v>
      </c>
      <c r="S15" s="19">
        <f t="shared" si="2"/>
        <v>469.78999999999996</v>
      </c>
      <c r="T15" s="19">
        <f t="shared" si="3"/>
        <v>3600.37</v>
      </c>
    </row>
    <row r="16" spans="1:20" x14ac:dyDescent="0.25">
      <c r="A16" s="13" t="s">
        <v>27</v>
      </c>
      <c r="B16" s="14" t="s">
        <v>74</v>
      </c>
      <c r="C16" s="14" t="s">
        <v>99</v>
      </c>
      <c r="D16" s="19">
        <v>8554.7000000000007</v>
      </c>
      <c r="E16" s="9"/>
      <c r="F16" s="9"/>
      <c r="G16" s="9"/>
      <c r="H16" s="9">
        <v>350</v>
      </c>
      <c r="I16" s="9">
        <v>103.6</v>
      </c>
      <c r="J16" s="19">
        <f t="shared" si="0"/>
        <v>453.6</v>
      </c>
      <c r="K16" s="9"/>
      <c r="L16" s="9"/>
      <c r="M16" s="9"/>
      <c r="N16" s="19">
        <f t="shared" si="1"/>
        <v>9008.3000000000011</v>
      </c>
      <c r="O16" s="9">
        <v>1326.19</v>
      </c>
      <c r="P16" s="9">
        <v>570.88</v>
      </c>
      <c r="Q16" s="9"/>
      <c r="R16" s="9">
        <v>103.6</v>
      </c>
      <c r="S16" s="19">
        <f t="shared" si="2"/>
        <v>2000.67</v>
      </c>
      <c r="T16" s="19">
        <f t="shared" si="3"/>
        <v>7007.630000000001</v>
      </c>
    </row>
    <row r="17" spans="1:20" x14ac:dyDescent="0.25">
      <c r="A17" s="13" t="s">
        <v>117</v>
      </c>
      <c r="B17" s="15" t="s">
        <v>75</v>
      </c>
      <c r="C17" s="15" t="s">
        <v>95</v>
      </c>
      <c r="D17" s="19">
        <v>0</v>
      </c>
      <c r="E17" s="9"/>
      <c r="F17" s="9"/>
      <c r="G17" s="9"/>
      <c r="H17" s="9">
        <v>0</v>
      </c>
      <c r="I17" s="9"/>
      <c r="J17" s="19">
        <f t="shared" si="0"/>
        <v>0</v>
      </c>
      <c r="K17" s="9"/>
      <c r="L17" s="9"/>
      <c r="M17" s="9">
        <v>4940.5200000000004</v>
      </c>
      <c r="N17" s="19">
        <f t="shared" si="1"/>
        <v>4940.5200000000004</v>
      </c>
      <c r="O17" s="9">
        <v>310.55</v>
      </c>
      <c r="P17" s="9">
        <v>543.46</v>
      </c>
      <c r="Q17" s="9"/>
      <c r="R17" s="9"/>
      <c r="S17" s="19">
        <f t="shared" si="2"/>
        <v>854.01</v>
      </c>
      <c r="T17" s="19">
        <f t="shared" si="3"/>
        <v>4086.51</v>
      </c>
    </row>
    <row r="18" spans="1:20" x14ac:dyDescent="0.25">
      <c r="A18" s="6" t="s">
        <v>29</v>
      </c>
      <c r="B18" s="7" t="s">
        <v>68</v>
      </c>
      <c r="C18" s="7" t="s">
        <v>92</v>
      </c>
      <c r="D18" s="19">
        <v>3203.09</v>
      </c>
      <c r="E18" s="9"/>
      <c r="F18" s="9"/>
      <c r="G18" s="9"/>
      <c r="H18" s="9">
        <v>450</v>
      </c>
      <c r="I18" s="9">
        <v>270</v>
      </c>
      <c r="J18" s="19">
        <f t="shared" si="0"/>
        <v>720</v>
      </c>
      <c r="K18" s="9"/>
      <c r="L18" s="9"/>
      <c r="M18" s="9"/>
      <c r="N18" s="19">
        <f t="shared" si="1"/>
        <v>3923.09</v>
      </c>
      <c r="O18" s="9">
        <v>72.81</v>
      </c>
      <c r="P18" s="9">
        <v>352.34</v>
      </c>
      <c r="Q18" s="9">
        <v>32.03</v>
      </c>
      <c r="R18" s="9">
        <v>115.31</v>
      </c>
      <c r="S18" s="19">
        <f t="shared" si="2"/>
        <v>572.49</v>
      </c>
      <c r="T18" s="19">
        <f t="shared" si="3"/>
        <v>3350.6000000000004</v>
      </c>
    </row>
    <row r="19" spans="1:20" x14ac:dyDescent="0.25">
      <c r="A19" s="6" t="s">
        <v>30</v>
      </c>
      <c r="B19" s="7" t="s">
        <v>76</v>
      </c>
      <c r="C19" s="7" t="s">
        <v>97</v>
      </c>
      <c r="D19" s="19">
        <f>7325.93+154.07</f>
        <v>7480</v>
      </c>
      <c r="E19" s="9"/>
      <c r="F19" s="9"/>
      <c r="G19" s="9"/>
      <c r="H19" s="9">
        <v>450</v>
      </c>
      <c r="I19" s="9">
        <v>133.19999999999999</v>
      </c>
      <c r="J19" s="19">
        <f t="shared" si="0"/>
        <v>583.20000000000005</v>
      </c>
      <c r="K19" s="9"/>
      <c r="L19" s="9"/>
      <c r="M19" s="9"/>
      <c r="N19" s="19">
        <f t="shared" si="1"/>
        <v>8063.2</v>
      </c>
      <c r="O19" s="9">
        <v>1030.6500000000001</v>
      </c>
      <c r="P19" s="9">
        <v>570.88</v>
      </c>
      <c r="Q19" s="9"/>
      <c r="R19" s="9">
        <v>133.19999999999999</v>
      </c>
      <c r="S19" s="19">
        <f t="shared" si="2"/>
        <v>1734.7300000000002</v>
      </c>
      <c r="T19" s="19">
        <f t="shared" si="3"/>
        <v>6328.4699999999993</v>
      </c>
    </row>
    <row r="20" spans="1:20" x14ac:dyDescent="0.25">
      <c r="A20" s="6" t="s">
        <v>31</v>
      </c>
      <c r="B20" s="7" t="s">
        <v>77</v>
      </c>
      <c r="C20" s="7" t="s">
        <v>96</v>
      </c>
      <c r="D20" s="19">
        <f>7325.93+154.07</f>
        <v>7480</v>
      </c>
      <c r="E20" s="9"/>
      <c r="F20" s="9"/>
      <c r="G20" s="9"/>
      <c r="H20" s="9">
        <v>450</v>
      </c>
      <c r="I20" s="9"/>
      <c r="J20" s="19">
        <f t="shared" si="0"/>
        <v>450</v>
      </c>
      <c r="K20" s="9"/>
      <c r="L20" s="9"/>
      <c r="M20" s="9"/>
      <c r="N20" s="19">
        <f t="shared" si="1"/>
        <v>7930</v>
      </c>
      <c r="O20" s="9">
        <v>1030.6500000000001</v>
      </c>
      <c r="P20" s="9">
        <v>570.88</v>
      </c>
      <c r="Q20" s="9"/>
      <c r="R20" s="9"/>
      <c r="S20" s="19">
        <f t="shared" si="2"/>
        <v>1601.5300000000002</v>
      </c>
      <c r="T20" s="19">
        <f t="shared" si="3"/>
        <v>6328.4699999999993</v>
      </c>
    </row>
    <row r="21" spans="1:20" x14ac:dyDescent="0.25">
      <c r="A21" s="6" t="s">
        <v>32</v>
      </c>
      <c r="B21" s="7" t="s">
        <v>78</v>
      </c>
      <c r="C21" s="7" t="s">
        <v>100</v>
      </c>
      <c r="D21" s="19">
        <v>11235</v>
      </c>
      <c r="E21" s="9"/>
      <c r="F21" s="9"/>
      <c r="G21" s="9"/>
      <c r="H21" s="9">
        <v>450</v>
      </c>
      <c r="I21" s="9"/>
      <c r="J21" s="19">
        <f t="shared" si="0"/>
        <v>450</v>
      </c>
      <c r="K21" s="9"/>
      <c r="L21" s="9"/>
      <c r="M21" s="9"/>
      <c r="N21" s="19">
        <f t="shared" si="1"/>
        <v>11685</v>
      </c>
      <c r="O21" s="9">
        <v>2063.27</v>
      </c>
      <c r="P21" s="9">
        <v>570.88</v>
      </c>
      <c r="Q21" s="9"/>
      <c r="R21" s="9"/>
      <c r="S21" s="19">
        <f t="shared" si="2"/>
        <v>2634.15</v>
      </c>
      <c r="T21" s="19">
        <f t="shared" si="3"/>
        <v>9050.85</v>
      </c>
    </row>
    <row r="22" spans="1:20" hidden="1" x14ac:dyDescent="0.25">
      <c r="A22" s="6" t="s">
        <v>33</v>
      </c>
      <c r="B22" s="7" t="s">
        <v>72</v>
      </c>
      <c r="C22" s="7" t="s">
        <v>100</v>
      </c>
      <c r="D22" s="19">
        <v>1191.76</v>
      </c>
      <c r="E22" s="9"/>
      <c r="F22" s="9"/>
      <c r="G22" s="9"/>
      <c r="H22" s="9">
        <v>450</v>
      </c>
      <c r="I22" s="9">
        <v>133.19999999999999</v>
      </c>
      <c r="J22" s="19">
        <f t="shared" si="0"/>
        <v>583.20000000000005</v>
      </c>
      <c r="K22" s="9"/>
      <c r="L22" s="9"/>
      <c r="M22" s="9"/>
      <c r="N22" s="19">
        <f t="shared" si="1"/>
        <v>1774.96</v>
      </c>
      <c r="O22" s="9"/>
      <c r="P22" s="9"/>
      <c r="Q22" s="9"/>
      <c r="R22" s="9"/>
      <c r="S22" s="19">
        <f t="shared" si="2"/>
        <v>0</v>
      </c>
      <c r="T22" s="19">
        <f t="shared" si="3"/>
        <v>1774.96</v>
      </c>
    </row>
    <row r="23" spans="1:20" x14ac:dyDescent="0.25">
      <c r="A23" s="6" t="s">
        <v>34</v>
      </c>
      <c r="B23" s="16" t="s">
        <v>79</v>
      </c>
      <c r="C23" s="7" t="s">
        <v>96</v>
      </c>
      <c r="D23" s="19">
        <v>11235</v>
      </c>
      <c r="E23" s="9"/>
      <c r="F23" s="9"/>
      <c r="G23" s="9"/>
      <c r="H23" s="9">
        <v>450</v>
      </c>
      <c r="I23" s="9">
        <v>234</v>
      </c>
      <c r="J23" s="19">
        <f t="shared" si="0"/>
        <v>684</v>
      </c>
      <c r="K23" s="9"/>
      <c r="L23" s="9"/>
      <c r="M23" s="9"/>
      <c r="N23" s="19">
        <f t="shared" si="1"/>
        <v>11919</v>
      </c>
      <c r="O23" s="9">
        <v>2063.27</v>
      </c>
      <c r="P23" s="9">
        <v>570.88</v>
      </c>
      <c r="Q23" s="9"/>
      <c r="R23" s="9">
        <v>234</v>
      </c>
      <c r="S23" s="19">
        <f t="shared" si="2"/>
        <v>2868.15</v>
      </c>
      <c r="T23" s="19">
        <f t="shared" si="3"/>
        <v>9050.85</v>
      </c>
    </row>
    <row r="24" spans="1:20" x14ac:dyDescent="0.25">
      <c r="A24" s="6" t="s">
        <v>35</v>
      </c>
      <c r="B24" s="7" t="s">
        <v>80</v>
      </c>
      <c r="C24" s="7" t="s">
        <v>101</v>
      </c>
      <c r="D24" s="19">
        <v>3203.09</v>
      </c>
      <c r="E24" s="9"/>
      <c r="F24" s="9"/>
      <c r="G24" s="9"/>
      <c r="H24" s="9">
        <v>450</v>
      </c>
      <c r="I24" s="9"/>
      <c r="J24" s="19">
        <f t="shared" si="0"/>
        <v>450</v>
      </c>
      <c r="K24" s="9"/>
      <c r="L24" s="9"/>
      <c r="M24" s="9"/>
      <c r="N24" s="19">
        <f t="shared" si="1"/>
        <v>3653.09</v>
      </c>
      <c r="O24" s="9">
        <v>72.81</v>
      </c>
      <c r="P24" s="9">
        <v>352.34</v>
      </c>
      <c r="Q24" s="9"/>
      <c r="R24" s="9"/>
      <c r="S24" s="19">
        <f t="shared" si="2"/>
        <v>425.15</v>
      </c>
      <c r="T24" s="19">
        <f t="shared" si="3"/>
        <v>3227.94</v>
      </c>
    </row>
    <row r="25" spans="1:20" x14ac:dyDescent="0.25">
      <c r="A25" s="6" t="s">
        <v>36</v>
      </c>
      <c r="B25" s="7" t="s">
        <v>68</v>
      </c>
      <c r="C25" s="7" t="s">
        <v>92</v>
      </c>
      <c r="D25" s="19">
        <v>3203.09</v>
      </c>
      <c r="E25" s="9"/>
      <c r="F25" s="9"/>
      <c r="G25" s="9"/>
      <c r="H25" s="9">
        <v>450</v>
      </c>
      <c r="I25" s="9"/>
      <c r="J25" s="19">
        <f t="shared" si="0"/>
        <v>450</v>
      </c>
      <c r="K25" s="9"/>
      <c r="L25" s="9"/>
      <c r="M25" s="9"/>
      <c r="N25" s="19">
        <f t="shared" si="1"/>
        <v>3653.09</v>
      </c>
      <c r="O25" s="9">
        <v>72.81</v>
      </c>
      <c r="P25" s="9">
        <v>352.34</v>
      </c>
      <c r="Q25" s="9"/>
      <c r="R25" s="9"/>
      <c r="S25" s="19">
        <f t="shared" si="2"/>
        <v>425.15</v>
      </c>
      <c r="T25" s="19">
        <f t="shared" si="3"/>
        <v>3227.94</v>
      </c>
    </row>
    <row r="26" spans="1:20" x14ac:dyDescent="0.25">
      <c r="A26" s="6" t="s">
        <v>37</v>
      </c>
      <c r="B26" s="7" t="s">
        <v>77</v>
      </c>
      <c r="C26" s="7" t="s">
        <v>96</v>
      </c>
      <c r="D26" s="19">
        <f>2441.98+154.07</f>
        <v>2596.0500000000002</v>
      </c>
      <c r="E26" s="22">
        <v>4639.76</v>
      </c>
      <c r="F26" s="9"/>
      <c r="G26" s="9"/>
      <c r="H26" s="9">
        <v>325</v>
      </c>
      <c r="I26" s="9"/>
      <c r="J26" s="19">
        <f t="shared" si="0"/>
        <v>325</v>
      </c>
      <c r="K26" s="9">
        <v>1546.58</v>
      </c>
      <c r="L26" s="9"/>
      <c r="M26" s="9"/>
      <c r="N26" s="19">
        <f t="shared" si="1"/>
        <v>9107.39</v>
      </c>
      <c r="O26" s="9">
        <f>51.9+1659.82</f>
        <v>1711.72</v>
      </c>
      <c r="P26" s="9">
        <v>570.88</v>
      </c>
      <c r="Q26" s="9"/>
      <c r="R26" s="9"/>
      <c r="S26" s="19">
        <f t="shared" si="2"/>
        <v>2282.6</v>
      </c>
      <c r="T26" s="19">
        <f t="shared" si="3"/>
        <v>6824.7899999999991</v>
      </c>
    </row>
    <row r="27" spans="1:20" x14ac:dyDescent="0.25">
      <c r="A27" s="6" t="s">
        <v>128</v>
      </c>
      <c r="B27" s="17" t="s">
        <v>81</v>
      </c>
      <c r="C27" s="7" t="s">
        <v>98</v>
      </c>
      <c r="D27" s="19">
        <v>0</v>
      </c>
      <c r="E27" s="23"/>
      <c r="F27" s="9"/>
      <c r="G27" s="9"/>
      <c r="H27" s="9">
        <v>0</v>
      </c>
      <c r="I27" s="9"/>
      <c r="J27" s="19">
        <f t="shared" si="0"/>
        <v>0</v>
      </c>
      <c r="K27" s="9"/>
      <c r="L27" s="9"/>
      <c r="M27" s="9"/>
      <c r="N27" s="19">
        <f t="shared" si="1"/>
        <v>0</v>
      </c>
      <c r="O27" s="9"/>
      <c r="P27" s="9"/>
      <c r="Q27" s="9"/>
      <c r="R27" s="9"/>
      <c r="S27" s="19">
        <f t="shared" si="2"/>
        <v>0</v>
      </c>
      <c r="T27" s="19">
        <f t="shared" si="3"/>
        <v>0</v>
      </c>
    </row>
    <row r="28" spans="1:20" hidden="1" x14ac:dyDescent="0.25">
      <c r="A28" s="6" t="s">
        <v>39</v>
      </c>
      <c r="B28" s="7" t="s">
        <v>72</v>
      </c>
      <c r="C28" s="7" t="s">
        <v>106</v>
      </c>
      <c r="D28" s="19">
        <v>1191.76</v>
      </c>
      <c r="E28" s="9"/>
      <c r="F28" s="9"/>
      <c r="G28" s="9"/>
      <c r="H28" s="9">
        <v>450</v>
      </c>
      <c r="I28" s="9">
        <v>234</v>
      </c>
      <c r="J28" s="19">
        <f t="shared" si="0"/>
        <v>684</v>
      </c>
      <c r="K28" s="9"/>
      <c r="L28" s="9"/>
      <c r="M28" s="9"/>
      <c r="N28" s="19">
        <f t="shared" si="1"/>
        <v>1875.76</v>
      </c>
      <c r="O28" s="9"/>
      <c r="P28" s="9"/>
      <c r="Q28" s="9"/>
      <c r="R28" s="9"/>
      <c r="S28" s="19">
        <f t="shared" si="2"/>
        <v>0</v>
      </c>
      <c r="T28" s="19">
        <f t="shared" si="3"/>
        <v>1875.76</v>
      </c>
    </row>
    <row r="29" spans="1:20" hidden="1" x14ac:dyDescent="0.25">
      <c r="A29" s="6" t="s">
        <v>104</v>
      </c>
      <c r="B29" s="7" t="s">
        <v>72</v>
      </c>
      <c r="C29" s="7" t="s">
        <v>102</v>
      </c>
      <c r="D29" s="19">
        <v>1191.76</v>
      </c>
      <c r="E29" s="9"/>
      <c r="F29" s="9"/>
      <c r="G29" s="9"/>
      <c r="H29" s="9">
        <v>450</v>
      </c>
      <c r="I29" s="9">
        <v>135</v>
      </c>
      <c r="J29" s="19">
        <f t="shared" si="0"/>
        <v>585</v>
      </c>
      <c r="K29" s="9"/>
      <c r="L29" s="9"/>
      <c r="M29" s="9"/>
      <c r="N29" s="19">
        <f t="shared" si="1"/>
        <v>1776.76</v>
      </c>
      <c r="O29" s="9"/>
      <c r="P29" s="9"/>
      <c r="Q29" s="9"/>
      <c r="R29" s="9"/>
      <c r="S29" s="19">
        <f t="shared" si="2"/>
        <v>0</v>
      </c>
      <c r="T29" s="19">
        <f t="shared" si="3"/>
        <v>1776.76</v>
      </c>
    </row>
    <row r="30" spans="1:20" x14ac:dyDescent="0.25">
      <c r="A30" s="13" t="s">
        <v>40</v>
      </c>
      <c r="B30" s="15" t="s">
        <v>69</v>
      </c>
      <c r="C30" s="7" t="s">
        <v>100</v>
      </c>
      <c r="D30" s="19">
        <v>3203.09</v>
      </c>
      <c r="E30" s="9"/>
      <c r="F30" s="9"/>
      <c r="G30" s="9"/>
      <c r="H30" s="9">
        <v>450</v>
      </c>
      <c r="I30" s="9">
        <v>234</v>
      </c>
      <c r="J30" s="19">
        <f t="shared" si="0"/>
        <v>684</v>
      </c>
      <c r="K30" s="9"/>
      <c r="L30" s="9"/>
      <c r="M30" s="9"/>
      <c r="N30" s="19">
        <f t="shared" si="1"/>
        <v>3887.09</v>
      </c>
      <c r="O30" s="9">
        <v>72.81</v>
      </c>
      <c r="P30" s="9">
        <v>352.34</v>
      </c>
      <c r="Q30" s="9"/>
      <c r="R30" s="9">
        <v>115.31</v>
      </c>
      <c r="S30" s="19">
        <f t="shared" si="2"/>
        <v>540.46</v>
      </c>
      <c r="T30" s="19">
        <f t="shared" si="3"/>
        <v>3346.63</v>
      </c>
    </row>
    <row r="31" spans="1:20" x14ac:dyDescent="0.25">
      <c r="A31" s="6" t="s">
        <v>41</v>
      </c>
      <c r="B31" s="7" t="s">
        <v>77</v>
      </c>
      <c r="C31" s="7" t="s">
        <v>96</v>
      </c>
      <c r="D31" s="19">
        <f>7325.93+154.07</f>
        <v>7480</v>
      </c>
      <c r="E31" s="9"/>
      <c r="F31" s="9"/>
      <c r="G31" s="9"/>
      <c r="H31" s="9">
        <v>450</v>
      </c>
      <c r="I31" s="9"/>
      <c r="J31" s="19">
        <f t="shared" si="0"/>
        <v>450</v>
      </c>
      <c r="K31" s="9"/>
      <c r="L31" s="9"/>
      <c r="M31" s="9"/>
      <c r="N31" s="19">
        <f t="shared" si="1"/>
        <v>7930</v>
      </c>
      <c r="O31" s="9">
        <v>1030.6500000000001</v>
      </c>
      <c r="P31" s="9">
        <v>570.88</v>
      </c>
      <c r="Q31" s="9"/>
      <c r="R31" s="9"/>
      <c r="S31" s="19">
        <f t="shared" si="2"/>
        <v>1601.5300000000002</v>
      </c>
      <c r="T31" s="19">
        <f t="shared" si="3"/>
        <v>6328.4699999999993</v>
      </c>
    </row>
    <row r="32" spans="1:20" x14ac:dyDescent="0.25">
      <c r="A32" s="6" t="s">
        <v>42</v>
      </c>
      <c r="B32" s="7" t="s">
        <v>69</v>
      </c>
      <c r="C32" s="7" t="s">
        <v>100</v>
      </c>
      <c r="D32" s="19">
        <v>3203.09</v>
      </c>
      <c r="E32" s="9"/>
      <c r="F32" s="9"/>
      <c r="G32" s="9"/>
      <c r="H32" s="9">
        <v>450</v>
      </c>
      <c r="I32" s="9">
        <v>234</v>
      </c>
      <c r="J32" s="19">
        <f t="shared" si="0"/>
        <v>684</v>
      </c>
      <c r="K32" s="9"/>
      <c r="L32" s="9"/>
      <c r="M32" s="9"/>
      <c r="N32" s="19">
        <f t="shared" si="1"/>
        <v>3887.09</v>
      </c>
      <c r="O32" s="9">
        <v>72.81</v>
      </c>
      <c r="P32" s="9">
        <v>352.34</v>
      </c>
      <c r="Q32" s="9"/>
      <c r="R32" s="9">
        <v>115.31</v>
      </c>
      <c r="S32" s="19">
        <f t="shared" si="2"/>
        <v>540.46</v>
      </c>
      <c r="T32" s="19">
        <f t="shared" si="3"/>
        <v>3346.63</v>
      </c>
    </row>
    <row r="33" spans="1:20" x14ac:dyDescent="0.25">
      <c r="A33" s="6" t="s">
        <v>43</v>
      </c>
      <c r="B33" s="7" t="s">
        <v>76</v>
      </c>
      <c r="C33" s="7" t="s">
        <v>97</v>
      </c>
      <c r="D33" s="19">
        <f>4883.95+154.07</f>
        <v>5038.0199999999995</v>
      </c>
      <c r="E33" s="12">
        <v>2441.98</v>
      </c>
      <c r="F33" s="9"/>
      <c r="G33" s="9"/>
      <c r="H33" s="9">
        <v>275</v>
      </c>
      <c r="I33" s="9">
        <v>81.400000000000006</v>
      </c>
      <c r="J33" s="19">
        <f t="shared" si="0"/>
        <v>356.4</v>
      </c>
      <c r="K33" s="9">
        <v>814.59</v>
      </c>
      <c r="L33" s="9"/>
      <c r="M33" s="9"/>
      <c r="N33" s="19">
        <f t="shared" si="1"/>
        <v>8650.99</v>
      </c>
      <c r="O33" s="9">
        <f>457.67+80.19</f>
        <v>537.86</v>
      </c>
      <c r="P33" s="9">
        <f>212.46+358.42</f>
        <v>570.88</v>
      </c>
      <c r="Q33" s="9"/>
      <c r="R33" s="9">
        <v>81.400000000000006</v>
      </c>
      <c r="S33" s="19">
        <f t="shared" si="2"/>
        <v>1190.1400000000001</v>
      </c>
      <c r="T33" s="19">
        <f t="shared" si="3"/>
        <v>7460.8499999999995</v>
      </c>
    </row>
    <row r="34" spans="1:20" x14ac:dyDescent="0.25">
      <c r="A34" s="7" t="s">
        <v>44</v>
      </c>
      <c r="B34" s="7" t="s">
        <v>69</v>
      </c>
      <c r="C34" s="7" t="s">
        <v>100</v>
      </c>
      <c r="D34" s="19">
        <v>3203.09</v>
      </c>
      <c r="E34" s="9"/>
      <c r="F34" s="9"/>
      <c r="G34" s="9"/>
      <c r="H34" s="9">
        <v>450</v>
      </c>
      <c r="I34" s="9">
        <v>369</v>
      </c>
      <c r="J34" s="19">
        <f t="shared" si="0"/>
        <v>819</v>
      </c>
      <c r="K34" s="9"/>
      <c r="L34" s="9"/>
      <c r="M34" s="9"/>
      <c r="N34" s="19">
        <f t="shared" si="1"/>
        <v>4022.09</v>
      </c>
      <c r="O34" s="9">
        <v>72.81</v>
      </c>
      <c r="P34" s="9">
        <v>352.34</v>
      </c>
      <c r="Q34" s="9"/>
      <c r="R34" s="9">
        <v>115.31</v>
      </c>
      <c r="S34" s="19">
        <f t="shared" si="2"/>
        <v>540.46</v>
      </c>
      <c r="T34" s="19">
        <f t="shared" si="3"/>
        <v>3481.63</v>
      </c>
    </row>
    <row r="35" spans="1:20" x14ac:dyDescent="0.25">
      <c r="A35" s="7" t="s">
        <v>45</v>
      </c>
      <c r="B35" s="7" t="s">
        <v>82</v>
      </c>
      <c r="C35" s="7" t="s">
        <v>97</v>
      </c>
      <c r="D35" s="19">
        <f>9362.5+13.68</f>
        <v>9376.18</v>
      </c>
      <c r="E35" s="9">
        <v>1872.5</v>
      </c>
      <c r="F35" s="9"/>
      <c r="G35" s="9"/>
      <c r="H35" s="9">
        <v>325</v>
      </c>
      <c r="I35" s="9">
        <v>690.56</v>
      </c>
      <c r="J35" s="19">
        <f t="shared" si="0"/>
        <v>1015.56</v>
      </c>
      <c r="K35" s="9">
        <v>624.16</v>
      </c>
      <c r="L35" s="9"/>
      <c r="M35" s="9"/>
      <c r="N35" s="19">
        <f t="shared" si="1"/>
        <v>12888.4</v>
      </c>
      <c r="O35" s="9">
        <v>1610.13</v>
      </c>
      <c r="P35" s="19">
        <f>(346.18+238.38)-13.68</f>
        <v>570.88</v>
      </c>
      <c r="Q35" s="9"/>
      <c r="R35" s="9">
        <v>292.11</v>
      </c>
      <c r="S35" s="19">
        <f t="shared" si="2"/>
        <v>2473.1200000000003</v>
      </c>
      <c r="T35" s="19">
        <f t="shared" si="3"/>
        <v>10415.279999999999</v>
      </c>
    </row>
    <row r="36" spans="1:20" x14ac:dyDescent="0.25">
      <c r="A36" s="7" t="s">
        <v>46</v>
      </c>
      <c r="B36" s="7" t="s">
        <v>83</v>
      </c>
      <c r="C36" s="7" t="s">
        <v>94</v>
      </c>
      <c r="D36" s="19">
        <v>3203.09</v>
      </c>
      <c r="E36" s="9"/>
      <c r="F36" s="9"/>
      <c r="G36" s="9">
        <f>12.81+2.14</f>
        <v>14.950000000000001</v>
      </c>
      <c r="H36" s="9">
        <v>450</v>
      </c>
      <c r="I36" s="9">
        <v>234</v>
      </c>
      <c r="J36" s="19">
        <f t="shared" si="0"/>
        <v>684</v>
      </c>
      <c r="K36" s="9"/>
      <c r="L36" s="9"/>
      <c r="M36" s="9"/>
      <c r="N36" s="19">
        <f t="shared" si="1"/>
        <v>3902.04</v>
      </c>
      <c r="O36" s="9">
        <v>74.81</v>
      </c>
      <c r="P36" s="9">
        <v>353.98</v>
      </c>
      <c r="Q36" s="9">
        <v>32.03</v>
      </c>
      <c r="R36" s="9">
        <v>115.31</v>
      </c>
      <c r="S36" s="19">
        <f t="shared" si="2"/>
        <v>576.13000000000011</v>
      </c>
      <c r="T36" s="19">
        <f t="shared" si="3"/>
        <v>3325.91</v>
      </c>
    </row>
    <row r="37" spans="1:20" x14ac:dyDescent="0.25">
      <c r="A37" s="7" t="s">
        <v>47</v>
      </c>
      <c r="B37" s="7" t="s">
        <v>84</v>
      </c>
      <c r="C37" s="7" t="s">
        <v>95</v>
      </c>
      <c r="D37" s="19">
        <v>11235</v>
      </c>
      <c r="E37" s="9"/>
      <c r="F37" s="9"/>
      <c r="G37" s="9"/>
      <c r="H37" s="9">
        <v>450</v>
      </c>
      <c r="I37" s="9">
        <v>136.80000000000001</v>
      </c>
      <c r="J37" s="19">
        <f t="shared" si="0"/>
        <v>586.79999999999995</v>
      </c>
      <c r="K37" s="9"/>
      <c r="L37" s="9"/>
      <c r="M37" s="9"/>
      <c r="N37" s="19">
        <f t="shared" si="1"/>
        <v>11821.8</v>
      </c>
      <c r="O37" s="9">
        <v>2063.27</v>
      </c>
      <c r="P37" s="9">
        <v>570.88</v>
      </c>
      <c r="Q37" s="9"/>
      <c r="R37" s="9">
        <v>136.80000000000001</v>
      </c>
      <c r="S37" s="19">
        <f t="shared" si="2"/>
        <v>2770.9500000000003</v>
      </c>
      <c r="T37" s="19">
        <f t="shared" si="3"/>
        <v>9050.8499999999985</v>
      </c>
    </row>
    <row r="38" spans="1:20" x14ac:dyDescent="0.25">
      <c r="A38" s="7" t="s">
        <v>48</v>
      </c>
      <c r="B38" s="7" t="s">
        <v>85</v>
      </c>
      <c r="C38" s="7" t="s">
        <v>102</v>
      </c>
      <c r="D38" s="19">
        <v>8554.7000000000007</v>
      </c>
      <c r="E38" s="9"/>
      <c r="F38" s="9"/>
      <c r="G38" s="9"/>
      <c r="H38" s="9">
        <v>450</v>
      </c>
      <c r="I38" s="9"/>
      <c r="J38" s="19">
        <f t="shared" si="0"/>
        <v>450</v>
      </c>
      <c r="K38" s="9"/>
      <c r="L38" s="9"/>
      <c r="M38" s="9"/>
      <c r="N38" s="19">
        <f t="shared" si="1"/>
        <v>9004.7000000000007</v>
      </c>
      <c r="O38" s="9">
        <v>1326.19</v>
      </c>
      <c r="P38" s="9">
        <v>570.88</v>
      </c>
      <c r="Q38" s="9"/>
      <c r="R38" s="9"/>
      <c r="S38" s="19">
        <f t="shared" si="2"/>
        <v>1897.0700000000002</v>
      </c>
      <c r="T38" s="19">
        <f t="shared" si="3"/>
        <v>7107.630000000001</v>
      </c>
    </row>
    <row r="39" spans="1:20" x14ac:dyDescent="0.25">
      <c r="A39" s="7" t="s">
        <v>49</v>
      </c>
      <c r="B39" s="7" t="s">
        <v>86</v>
      </c>
      <c r="C39" s="7" t="s">
        <v>102</v>
      </c>
      <c r="D39" s="19">
        <v>6183.65</v>
      </c>
      <c r="E39" s="9"/>
      <c r="F39" s="9"/>
      <c r="G39" s="9">
        <f>2.71+16.23</f>
        <v>18.940000000000001</v>
      </c>
      <c r="H39" s="9">
        <v>450</v>
      </c>
      <c r="I39" s="9">
        <v>133.19999999999999</v>
      </c>
      <c r="J39" s="19">
        <f t="shared" si="0"/>
        <v>583.20000000000005</v>
      </c>
      <c r="K39" s="9"/>
      <c r="L39" s="9"/>
      <c r="M39" s="9"/>
      <c r="N39" s="19">
        <f t="shared" si="1"/>
        <v>6785.7899999999991</v>
      </c>
      <c r="O39" s="9">
        <v>679.36</v>
      </c>
      <c r="P39" s="9">
        <v>570.88</v>
      </c>
      <c r="Q39" s="9"/>
      <c r="R39" s="9">
        <v>133.19999999999999</v>
      </c>
      <c r="S39" s="19">
        <f t="shared" si="2"/>
        <v>1383.44</v>
      </c>
      <c r="T39" s="19">
        <f t="shared" si="3"/>
        <v>5402.3499999999985</v>
      </c>
    </row>
    <row r="40" spans="1:20" x14ac:dyDescent="0.25">
      <c r="A40" s="7" t="s">
        <v>50</v>
      </c>
      <c r="B40" s="7" t="s">
        <v>80</v>
      </c>
      <c r="C40" s="7" t="s">
        <v>101</v>
      </c>
      <c r="D40" s="19">
        <v>3203.09</v>
      </c>
      <c r="E40" s="9"/>
      <c r="F40" s="9"/>
      <c r="G40" s="9">
        <f>96.89+16.15</f>
        <v>113.03999999999999</v>
      </c>
      <c r="H40" s="9">
        <v>450</v>
      </c>
      <c r="I40" s="9">
        <v>178.2</v>
      </c>
      <c r="J40" s="19">
        <f t="shared" si="0"/>
        <v>628.20000000000005</v>
      </c>
      <c r="K40" s="9"/>
      <c r="L40" s="9"/>
      <c r="M40" s="9"/>
      <c r="N40" s="19">
        <f t="shared" si="1"/>
        <v>3944.33</v>
      </c>
      <c r="O40" s="9">
        <v>87.9</v>
      </c>
      <c r="P40" s="9">
        <v>364.77</v>
      </c>
      <c r="Q40" s="9">
        <v>32.03</v>
      </c>
      <c r="R40" s="9">
        <v>115.31</v>
      </c>
      <c r="S40" s="19">
        <f t="shared" si="2"/>
        <v>600.01</v>
      </c>
      <c r="T40" s="19">
        <f t="shared" si="3"/>
        <v>3344.3199999999997</v>
      </c>
    </row>
    <row r="41" spans="1:20" x14ac:dyDescent="0.25">
      <c r="A41" s="6" t="s">
        <v>51</v>
      </c>
      <c r="B41" s="7" t="s">
        <v>68</v>
      </c>
      <c r="C41" s="7" t="s">
        <v>92</v>
      </c>
      <c r="D41" s="19">
        <v>3203.09</v>
      </c>
      <c r="E41" s="9"/>
      <c r="F41" s="9"/>
      <c r="G41" s="9"/>
      <c r="H41" s="9">
        <v>450</v>
      </c>
      <c r="I41" s="9">
        <v>234</v>
      </c>
      <c r="J41" s="19">
        <f t="shared" si="0"/>
        <v>684</v>
      </c>
      <c r="K41" s="12"/>
      <c r="L41" s="9"/>
      <c r="M41" s="9"/>
      <c r="N41" s="19">
        <f t="shared" si="1"/>
        <v>3887.09</v>
      </c>
      <c r="O41" s="9">
        <v>72.81</v>
      </c>
      <c r="P41" s="9">
        <v>352.34</v>
      </c>
      <c r="Q41" s="9">
        <v>32.03</v>
      </c>
      <c r="R41" s="9">
        <v>115.31</v>
      </c>
      <c r="S41" s="19">
        <f t="shared" si="2"/>
        <v>572.49</v>
      </c>
      <c r="T41" s="19">
        <f t="shared" si="3"/>
        <v>3314.6000000000004</v>
      </c>
    </row>
    <row r="42" spans="1:20" hidden="1" x14ac:dyDescent="0.25">
      <c r="A42" s="6" t="s">
        <v>52</v>
      </c>
      <c r="B42" s="7" t="s">
        <v>72</v>
      </c>
      <c r="C42" s="7" t="s">
        <v>98</v>
      </c>
      <c r="D42" s="19">
        <v>1191.76</v>
      </c>
      <c r="E42" s="9"/>
      <c r="F42" s="9"/>
      <c r="G42" s="9"/>
      <c r="H42" s="9">
        <v>350</v>
      </c>
      <c r="I42" s="9">
        <v>285.60000000000002</v>
      </c>
      <c r="J42" s="19">
        <f t="shared" si="0"/>
        <v>635.6</v>
      </c>
      <c r="K42" s="9"/>
      <c r="L42" s="9"/>
      <c r="M42" s="9"/>
      <c r="N42" s="19">
        <f t="shared" si="1"/>
        <v>1827.3600000000001</v>
      </c>
      <c r="O42" s="9"/>
      <c r="P42" s="9"/>
      <c r="Q42" s="9"/>
      <c r="R42" s="9"/>
      <c r="S42" s="19">
        <f t="shared" si="2"/>
        <v>0</v>
      </c>
      <c r="T42" s="19">
        <f t="shared" si="3"/>
        <v>1827.3600000000001</v>
      </c>
    </row>
    <row r="43" spans="1:20" x14ac:dyDescent="0.25">
      <c r="A43" s="7" t="s">
        <v>53</v>
      </c>
      <c r="B43" s="7" t="s">
        <v>68</v>
      </c>
      <c r="C43" s="7" t="s">
        <v>92</v>
      </c>
      <c r="D43" s="19">
        <v>1494.78</v>
      </c>
      <c r="E43" s="9">
        <v>1708.31</v>
      </c>
      <c r="F43" s="9"/>
      <c r="G43" s="9"/>
      <c r="H43" s="9">
        <v>150</v>
      </c>
      <c r="I43" s="9"/>
      <c r="J43" s="19">
        <f t="shared" si="0"/>
        <v>150</v>
      </c>
      <c r="K43" s="9">
        <v>569.44000000000005</v>
      </c>
      <c r="L43" s="9"/>
      <c r="M43" s="9"/>
      <c r="N43" s="19">
        <f t="shared" si="1"/>
        <v>3922.53</v>
      </c>
      <c r="O43" s="9">
        <v>12.66</v>
      </c>
      <c r="P43" s="9">
        <f>209.98+205</f>
        <v>414.98</v>
      </c>
      <c r="Q43" s="9">
        <v>14.95</v>
      </c>
      <c r="R43" s="9"/>
      <c r="S43" s="19">
        <f t="shared" si="2"/>
        <v>442.59000000000003</v>
      </c>
      <c r="T43" s="19">
        <f t="shared" si="3"/>
        <v>3479.94</v>
      </c>
    </row>
    <row r="44" spans="1:20" x14ac:dyDescent="0.25">
      <c r="A44" s="6" t="s">
        <v>55</v>
      </c>
      <c r="B44" s="7" t="s">
        <v>76</v>
      </c>
      <c r="C44" s="7" t="s">
        <v>97</v>
      </c>
      <c r="D44" s="19">
        <f>7325.93+154.07</f>
        <v>7480</v>
      </c>
      <c r="E44" s="9"/>
      <c r="F44" s="9"/>
      <c r="G44" s="9"/>
      <c r="H44" s="9">
        <v>450</v>
      </c>
      <c r="I44" s="9"/>
      <c r="J44" s="19">
        <f t="shared" si="0"/>
        <v>450</v>
      </c>
      <c r="K44" s="9"/>
      <c r="L44" s="9"/>
      <c r="M44" s="9"/>
      <c r="N44" s="19">
        <f t="shared" si="1"/>
        <v>7930</v>
      </c>
      <c r="O44" s="9">
        <v>1030.6500000000001</v>
      </c>
      <c r="P44" s="9">
        <v>570.88</v>
      </c>
      <c r="Q44" s="9"/>
      <c r="R44" s="9"/>
      <c r="S44" s="19">
        <f t="shared" si="2"/>
        <v>1601.5300000000002</v>
      </c>
      <c r="T44" s="19">
        <f t="shared" si="3"/>
        <v>6328.4699999999993</v>
      </c>
    </row>
    <row r="45" spans="1:20" hidden="1" x14ac:dyDescent="0.25">
      <c r="A45" s="6" t="s">
        <v>56</v>
      </c>
      <c r="B45" s="7" t="s">
        <v>72</v>
      </c>
      <c r="C45" s="7" t="s">
        <v>94</v>
      </c>
      <c r="D45" s="19">
        <v>1191.76</v>
      </c>
      <c r="E45" s="9"/>
      <c r="F45" s="9"/>
      <c r="G45" s="9"/>
      <c r="H45" s="9">
        <v>450</v>
      </c>
      <c r="I45" s="9">
        <v>234</v>
      </c>
      <c r="J45" s="19">
        <f t="shared" si="0"/>
        <v>684</v>
      </c>
      <c r="K45" s="9"/>
      <c r="L45" s="9"/>
      <c r="M45" s="9"/>
      <c r="N45" s="19">
        <f t="shared" si="1"/>
        <v>1875.76</v>
      </c>
      <c r="O45" s="9"/>
      <c r="P45" s="9"/>
      <c r="Q45" s="9"/>
      <c r="R45" s="9"/>
      <c r="S45" s="19">
        <f t="shared" si="2"/>
        <v>0</v>
      </c>
      <c r="T45" s="19">
        <f t="shared" si="3"/>
        <v>1875.76</v>
      </c>
    </row>
    <row r="46" spans="1:20" x14ac:dyDescent="0.25">
      <c r="A46" s="6" t="s">
        <v>57</v>
      </c>
      <c r="B46" s="7" t="s">
        <v>76</v>
      </c>
      <c r="C46" s="7" t="s">
        <v>96</v>
      </c>
      <c r="D46" s="19">
        <f>7325.93+154.07</f>
        <v>7480</v>
      </c>
      <c r="E46" s="9"/>
      <c r="F46" s="9"/>
      <c r="G46" s="9"/>
      <c r="H46" s="9">
        <v>450</v>
      </c>
      <c r="I46" s="9"/>
      <c r="J46" s="19">
        <f t="shared" si="0"/>
        <v>450</v>
      </c>
      <c r="K46" s="9"/>
      <c r="L46" s="9"/>
      <c r="M46" s="9"/>
      <c r="N46" s="19">
        <f t="shared" si="1"/>
        <v>7930</v>
      </c>
      <c r="O46" s="9">
        <v>1030.6500000000001</v>
      </c>
      <c r="P46" s="9">
        <v>570.88</v>
      </c>
      <c r="Q46" s="9"/>
      <c r="R46" s="9"/>
      <c r="S46" s="19">
        <f t="shared" si="2"/>
        <v>1601.5300000000002</v>
      </c>
      <c r="T46" s="19">
        <f t="shared" si="3"/>
        <v>6328.4699999999993</v>
      </c>
    </row>
    <row r="47" spans="1:20" x14ac:dyDescent="0.25">
      <c r="A47" s="6" t="s">
        <v>58</v>
      </c>
      <c r="B47" s="7" t="s">
        <v>68</v>
      </c>
      <c r="C47" s="7" t="s">
        <v>92</v>
      </c>
      <c r="D47" s="19">
        <v>3203.09</v>
      </c>
      <c r="E47" s="9"/>
      <c r="F47" s="9"/>
      <c r="G47" s="9"/>
      <c r="H47" s="9">
        <v>450</v>
      </c>
      <c r="I47" s="9">
        <v>234</v>
      </c>
      <c r="J47" s="19">
        <f t="shared" si="0"/>
        <v>684</v>
      </c>
      <c r="K47" s="9"/>
      <c r="L47" s="9"/>
      <c r="M47" s="9"/>
      <c r="N47" s="25">
        <f t="shared" si="1"/>
        <v>3887.09</v>
      </c>
      <c r="O47" s="9">
        <v>42.57</v>
      </c>
      <c r="P47" s="9">
        <v>352.34</v>
      </c>
      <c r="Q47" s="9">
        <v>32.03</v>
      </c>
      <c r="R47" s="9">
        <v>115.31</v>
      </c>
      <c r="S47" s="19">
        <f t="shared" si="2"/>
        <v>542.25</v>
      </c>
      <c r="T47" s="19">
        <f t="shared" si="3"/>
        <v>3344.84</v>
      </c>
    </row>
    <row r="48" spans="1:20" x14ac:dyDescent="0.25">
      <c r="A48" s="6" t="s">
        <v>59</v>
      </c>
      <c r="B48" s="7" t="s">
        <v>76</v>
      </c>
      <c r="C48" s="7" t="s">
        <v>96</v>
      </c>
      <c r="D48" s="19">
        <f>7325.93+154.07</f>
        <v>7480</v>
      </c>
      <c r="E48" s="9"/>
      <c r="F48" s="9"/>
      <c r="G48" s="9"/>
      <c r="H48" s="9">
        <v>450</v>
      </c>
      <c r="I48" s="9">
        <v>133.19999999999999</v>
      </c>
      <c r="J48" s="19">
        <f t="shared" si="0"/>
        <v>583.20000000000005</v>
      </c>
      <c r="K48" s="9"/>
      <c r="L48" s="9"/>
      <c r="M48" s="9"/>
      <c r="N48" s="25">
        <f t="shared" si="1"/>
        <v>8063.2</v>
      </c>
      <c r="O48" s="9">
        <v>1030.6500000000001</v>
      </c>
      <c r="P48" s="9">
        <v>570.88</v>
      </c>
      <c r="Q48" s="9"/>
      <c r="R48" s="9">
        <v>133.19999999999999</v>
      </c>
      <c r="S48" s="19">
        <f t="shared" si="2"/>
        <v>1734.7300000000002</v>
      </c>
      <c r="T48" s="19">
        <f t="shared" si="3"/>
        <v>6328.4699999999993</v>
      </c>
    </row>
    <row r="49" spans="1:20" x14ac:dyDescent="0.25">
      <c r="A49" s="6" t="s">
        <v>60</v>
      </c>
      <c r="B49" s="7" t="s">
        <v>87</v>
      </c>
      <c r="C49" s="7" t="s">
        <v>94</v>
      </c>
      <c r="D49" s="19">
        <v>6183.65</v>
      </c>
      <c r="E49" s="9"/>
      <c r="F49" s="9"/>
      <c r="G49" s="9">
        <f>20.87+3.48</f>
        <v>24.35</v>
      </c>
      <c r="H49" s="9">
        <v>450</v>
      </c>
      <c r="I49" s="9">
        <v>136.80000000000001</v>
      </c>
      <c r="J49" s="19">
        <f t="shared" si="0"/>
        <v>586.79999999999995</v>
      </c>
      <c r="K49" s="9"/>
      <c r="L49" s="9"/>
      <c r="M49" s="9"/>
      <c r="N49" s="25">
        <f t="shared" si="1"/>
        <v>6794.8</v>
      </c>
      <c r="O49" s="9">
        <v>680.85</v>
      </c>
      <c r="P49" s="9">
        <v>570.88</v>
      </c>
      <c r="Q49" s="9"/>
      <c r="R49" s="9">
        <v>136.80000000000001</v>
      </c>
      <c r="S49" s="19">
        <f t="shared" si="2"/>
        <v>1388.53</v>
      </c>
      <c r="T49" s="19">
        <f t="shared" si="3"/>
        <v>5406.27</v>
      </c>
    </row>
    <row r="50" spans="1:20" x14ac:dyDescent="0.25">
      <c r="A50" s="6" t="s">
        <v>61</v>
      </c>
      <c r="B50" s="7" t="s">
        <v>88</v>
      </c>
      <c r="C50" s="7" t="s">
        <v>93</v>
      </c>
      <c r="D50" s="19">
        <v>8554.7000000000007</v>
      </c>
      <c r="E50" s="9"/>
      <c r="F50" s="9"/>
      <c r="G50" s="9"/>
      <c r="H50" s="9">
        <v>450</v>
      </c>
      <c r="I50" s="9">
        <v>133.19999999999999</v>
      </c>
      <c r="J50" s="19">
        <f t="shared" si="0"/>
        <v>583.20000000000005</v>
      </c>
      <c r="K50" s="9"/>
      <c r="L50" s="9"/>
      <c r="M50" s="9"/>
      <c r="N50" s="25">
        <f t="shared" si="1"/>
        <v>9137.9000000000015</v>
      </c>
      <c r="O50" s="9">
        <v>1326.19</v>
      </c>
      <c r="P50" s="9">
        <v>570.88</v>
      </c>
      <c r="Q50" s="9"/>
      <c r="R50" s="9">
        <v>133.19999999999999</v>
      </c>
      <c r="S50" s="19">
        <f t="shared" si="2"/>
        <v>2030.2700000000002</v>
      </c>
      <c r="T50" s="19">
        <f t="shared" si="3"/>
        <v>7107.630000000001</v>
      </c>
    </row>
    <row r="51" spans="1:20" x14ac:dyDescent="0.25">
      <c r="A51" s="7" t="s">
        <v>62</v>
      </c>
      <c r="B51" s="7" t="s">
        <v>83</v>
      </c>
      <c r="C51" s="7" t="s">
        <v>94</v>
      </c>
      <c r="D51" s="19">
        <v>2669.24</v>
      </c>
      <c r="E51" s="9">
        <v>533.85</v>
      </c>
      <c r="F51" s="9"/>
      <c r="G51" s="9"/>
      <c r="H51" s="9">
        <v>325</v>
      </c>
      <c r="I51" s="9">
        <v>260</v>
      </c>
      <c r="J51" s="19">
        <f t="shared" si="0"/>
        <v>585</v>
      </c>
      <c r="K51" s="24">
        <v>177.95</v>
      </c>
      <c r="L51" s="9"/>
      <c r="M51" s="9"/>
      <c r="N51" s="25">
        <f t="shared" si="1"/>
        <v>3966.0399999999995</v>
      </c>
      <c r="O51" s="9">
        <v>33.770000000000003</v>
      </c>
      <c r="P51" s="9">
        <f>314.97+56.94</f>
        <v>371.91</v>
      </c>
      <c r="Q51" s="9">
        <f>26.69+26.69</f>
        <v>53.38</v>
      </c>
      <c r="R51" s="9">
        <v>83.28</v>
      </c>
      <c r="S51" s="19">
        <f t="shared" si="2"/>
        <v>542.34</v>
      </c>
      <c r="T51" s="19">
        <f t="shared" si="3"/>
        <v>3423.6999999999994</v>
      </c>
    </row>
    <row r="52" spans="1:20" x14ac:dyDescent="0.25">
      <c r="A52" s="7" t="s">
        <v>63</v>
      </c>
      <c r="B52" s="7" t="s">
        <v>89</v>
      </c>
      <c r="C52" s="7" t="s">
        <v>98</v>
      </c>
      <c r="D52" s="19">
        <v>6183.65</v>
      </c>
      <c r="E52" s="9"/>
      <c r="F52" s="9"/>
      <c r="G52" s="9"/>
      <c r="H52" s="9">
        <v>450</v>
      </c>
      <c r="I52" s="9">
        <v>133.19999999999999</v>
      </c>
      <c r="J52" s="19">
        <f t="shared" si="0"/>
        <v>583.20000000000005</v>
      </c>
      <c r="K52" s="9"/>
      <c r="L52" s="9"/>
      <c r="M52" s="9"/>
      <c r="N52" s="25">
        <f t="shared" si="1"/>
        <v>6766.8499999999995</v>
      </c>
      <c r="O52" s="9">
        <v>674.15</v>
      </c>
      <c r="P52" s="9">
        <v>570.88</v>
      </c>
      <c r="Q52" s="9"/>
      <c r="R52" s="9">
        <v>133.19999999999999</v>
      </c>
      <c r="S52" s="19">
        <f t="shared" si="2"/>
        <v>1378.23</v>
      </c>
      <c r="T52" s="19">
        <f t="shared" si="3"/>
        <v>5388.619999999999</v>
      </c>
    </row>
    <row r="53" spans="1:20" x14ac:dyDescent="0.25">
      <c r="A53" s="6" t="s">
        <v>64</v>
      </c>
      <c r="B53" s="7" t="s">
        <v>68</v>
      </c>
      <c r="C53" s="7" t="s">
        <v>96</v>
      </c>
      <c r="D53" s="19">
        <v>3203.9</v>
      </c>
      <c r="E53" s="9"/>
      <c r="F53" s="9"/>
      <c r="G53" s="9"/>
      <c r="H53" s="9">
        <v>450</v>
      </c>
      <c r="I53" s="9">
        <v>147.6</v>
      </c>
      <c r="J53" s="19">
        <f t="shared" si="0"/>
        <v>597.6</v>
      </c>
      <c r="K53" s="9"/>
      <c r="L53" s="9"/>
      <c r="M53" s="9"/>
      <c r="N53" s="25">
        <f t="shared" si="1"/>
        <v>3801.5</v>
      </c>
      <c r="O53" s="9">
        <v>72.92</v>
      </c>
      <c r="P53" s="9">
        <v>352.43</v>
      </c>
      <c r="Q53" s="9"/>
      <c r="R53" s="9">
        <v>115.34</v>
      </c>
      <c r="S53" s="19">
        <f t="shared" si="2"/>
        <v>540.69000000000005</v>
      </c>
      <c r="T53" s="19">
        <f t="shared" si="3"/>
        <v>3260.81</v>
      </c>
    </row>
    <row r="54" spans="1:20" x14ac:dyDescent="0.25">
      <c r="A54" s="7" t="s">
        <v>65</v>
      </c>
      <c r="B54" s="7" t="s">
        <v>90</v>
      </c>
      <c r="C54" s="7" t="s">
        <v>100</v>
      </c>
      <c r="D54" s="19">
        <v>6183.65</v>
      </c>
      <c r="E54" s="9"/>
      <c r="F54" s="9"/>
      <c r="G54" s="9"/>
      <c r="H54" s="9">
        <v>450</v>
      </c>
      <c r="I54" s="9"/>
      <c r="J54" s="19">
        <f t="shared" si="0"/>
        <v>450</v>
      </c>
      <c r="K54" s="9"/>
      <c r="L54" s="9"/>
      <c r="M54" s="9"/>
      <c r="N54" s="25">
        <f t="shared" si="1"/>
        <v>6633.65</v>
      </c>
      <c r="O54" s="9">
        <v>674.15</v>
      </c>
      <c r="P54" s="9">
        <v>570.88</v>
      </c>
      <c r="Q54" s="9"/>
      <c r="R54" s="9"/>
      <c r="S54" s="19">
        <f t="shared" si="2"/>
        <v>1245.03</v>
      </c>
      <c r="T54" s="19">
        <f t="shared" si="3"/>
        <v>5388.62</v>
      </c>
    </row>
    <row r="55" spans="1:20" hidden="1" x14ac:dyDescent="0.25">
      <c r="A55" s="6" t="s">
        <v>66</v>
      </c>
      <c r="B55" s="7" t="s">
        <v>72</v>
      </c>
      <c r="C55" s="7" t="s">
        <v>102</v>
      </c>
      <c r="D55" s="8">
        <v>1191.76</v>
      </c>
      <c r="E55" s="9"/>
      <c r="F55" s="9"/>
      <c r="G55" s="9"/>
      <c r="H55" s="9">
        <v>450</v>
      </c>
      <c r="I55" s="9">
        <v>234</v>
      </c>
      <c r="J55" s="19">
        <f t="shared" si="0"/>
        <v>684</v>
      </c>
      <c r="K55" s="9"/>
      <c r="L55" s="9"/>
      <c r="M55" s="9"/>
      <c r="N55" s="25">
        <f t="shared" si="1"/>
        <v>1875.76</v>
      </c>
      <c r="O55" s="9"/>
      <c r="P55" s="9"/>
      <c r="Q55" s="9"/>
      <c r="R55" s="9"/>
      <c r="S55" s="19">
        <f t="shared" si="2"/>
        <v>0</v>
      </c>
      <c r="T55" s="19">
        <f t="shared" si="3"/>
        <v>1875.76</v>
      </c>
    </row>
    <row r="56" spans="1:20" hidden="1" x14ac:dyDescent="0.25">
      <c r="H56" s="5">
        <f>SUM(H5:H55)</f>
        <v>20375</v>
      </c>
      <c r="I56" s="5">
        <f>SUM(I5:I55)</f>
        <v>7335.16</v>
      </c>
      <c r="J56" s="1"/>
      <c r="N56" s="3"/>
      <c r="T56" s="5">
        <f>SUM(T5:T55)</f>
        <v>235946.45000000004</v>
      </c>
    </row>
    <row r="57" spans="1:20" x14ac:dyDescent="0.25">
      <c r="N57" s="3"/>
    </row>
    <row r="58" spans="1:20" ht="19.5" x14ac:dyDescent="0.3">
      <c r="A58" s="21" t="s">
        <v>108</v>
      </c>
      <c r="N58" s="3"/>
    </row>
    <row r="59" spans="1:20" ht="19.5" customHeight="1" x14ac:dyDescent="0.25">
      <c r="A59" s="32" t="s">
        <v>0</v>
      </c>
      <c r="B59" s="32" t="s">
        <v>1</v>
      </c>
      <c r="C59" s="32" t="s">
        <v>2</v>
      </c>
      <c r="D59" s="32" t="s">
        <v>111</v>
      </c>
      <c r="E59" s="32" t="s">
        <v>110</v>
      </c>
      <c r="F59" s="32" t="s">
        <v>11</v>
      </c>
      <c r="G59" s="32" t="s">
        <v>12</v>
      </c>
      <c r="H59" s="29"/>
      <c r="I59" s="29"/>
      <c r="J59" s="32" t="s">
        <v>109</v>
      </c>
      <c r="N59" s="3"/>
    </row>
    <row r="60" spans="1:20" ht="15.75" x14ac:dyDescent="0.25">
      <c r="A60" s="7" t="s">
        <v>19</v>
      </c>
      <c r="B60" s="7" t="s">
        <v>70</v>
      </c>
      <c r="C60" s="7" t="s">
        <v>94</v>
      </c>
      <c r="D60" s="19">
        <v>5617.5</v>
      </c>
      <c r="E60" s="34"/>
      <c r="F60" s="34"/>
      <c r="G60" s="34"/>
      <c r="J60" s="34"/>
      <c r="N60" s="3"/>
    </row>
    <row r="61" spans="1:20" x14ac:dyDescent="0.25">
      <c r="A61" s="7" t="s">
        <v>53</v>
      </c>
      <c r="B61" s="7" t="s">
        <v>68</v>
      </c>
      <c r="C61" s="7" t="s">
        <v>92</v>
      </c>
      <c r="D61" s="19">
        <v>3662.97</v>
      </c>
      <c r="E61" s="20"/>
      <c r="F61" s="20"/>
      <c r="G61" s="20"/>
      <c r="J61" s="20"/>
      <c r="N61" s="3"/>
    </row>
    <row r="62" spans="1:20" x14ac:dyDescent="0.25">
      <c r="A62" s="6" t="s">
        <v>43</v>
      </c>
      <c r="B62" s="7" t="s">
        <v>76</v>
      </c>
      <c r="C62" s="7" t="s">
        <v>97</v>
      </c>
      <c r="D62" s="19">
        <v>1601.55</v>
      </c>
      <c r="E62" s="20"/>
      <c r="F62" s="20"/>
      <c r="G62" s="20"/>
      <c r="J62" s="20"/>
      <c r="N62" s="3"/>
    </row>
    <row r="63" spans="1:20" x14ac:dyDescent="0.25">
      <c r="N63" s="3"/>
    </row>
    <row r="64" spans="1:20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x14ac:dyDescent="0.25">
      <c r="N83" s="3"/>
    </row>
    <row r="84" spans="14:14" x14ac:dyDescent="0.25">
      <c r="N84" s="3"/>
    </row>
    <row r="85" spans="14:14" x14ac:dyDescent="0.25">
      <c r="N85" s="3"/>
    </row>
    <row r="86" spans="14:14" x14ac:dyDescent="0.25">
      <c r="N86" s="3"/>
    </row>
    <row r="87" spans="14:14" x14ac:dyDescent="0.25">
      <c r="N87" s="3"/>
    </row>
    <row r="88" spans="14:14" x14ac:dyDescent="0.25">
      <c r="N88" s="3"/>
    </row>
    <row r="89" spans="14:14" x14ac:dyDescent="0.25">
      <c r="N89" s="3"/>
    </row>
    <row r="90" spans="14:14" x14ac:dyDescent="0.25">
      <c r="N90" s="3"/>
    </row>
    <row r="91" spans="14:14" x14ac:dyDescent="0.25">
      <c r="N91" s="3"/>
    </row>
    <row r="92" spans="14:14" x14ac:dyDescent="0.25">
      <c r="N92" s="3"/>
    </row>
    <row r="93" spans="14:14" x14ac:dyDescent="0.25">
      <c r="N93" s="3"/>
    </row>
    <row r="94" spans="14:14" x14ac:dyDescent="0.25">
      <c r="N94" s="3"/>
    </row>
    <row r="95" spans="14:14" x14ac:dyDescent="0.25">
      <c r="N95" s="3"/>
    </row>
    <row r="96" spans="14:14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</sheetData>
  <autoFilter ref="A4:T62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</filters>
    </filterColumn>
  </autoFilter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showGridLines="0" zoomScaleNormal="100" workbookViewId="0">
      <selection activeCell="A26" sqref="A26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5" width="19.7109375" style="2" customWidth="1"/>
    <col min="6" max="6" width="19.140625" style="2" customWidth="1"/>
    <col min="7" max="7" width="12.28515625" style="2" customWidth="1"/>
    <col min="8" max="9" width="22" style="2" hidden="1" customWidth="1"/>
    <col min="10" max="10" width="22" style="2" customWidth="1"/>
    <col min="11" max="11" width="19.7109375" style="2" customWidth="1"/>
    <col min="12" max="12" width="22.42578125" style="2" customWidth="1"/>
    <col min="13" max="13" width="14" style="2" customWidth="1"/>
    <col min="14" max="14" width="20.28515625" style="2" customWidth="1"/>
    <col min="15" max="15" width="13" style="2" customWidth="1"/>
    <col min="16" max="16" width="12.140625" style="2" customWidth="1"/>
    <col min="17" max="17" width="18.85546875" style="2" customWidth="1"/>
    <col min="18" max="18" width="11.42578125" style="2" customWidth="1"/>
    <col min="19" max="19" width="17.5703125" style="2" customWidth="1"/>
    <col min="20" max="20" width="14.85546875" style="2" customWidth="1"/>
    <col min="21" max="16384" width="9.140625" style="2"/>
  </cols>
  <sheetData>
    <row r="1" spans="1:20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.75" x14ac:dyDescent="0.3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114</v>
      </c>
      <c r="G4" s="32" t="s">
        <v>5</v>
      </c>
      <c r="H4" s="29" t="s">
        <v>107</v>
      </c>
      <c r="I4" s="29" t="s">
        <v>103</v>
      </c>
      <c r="J4" s="32" t="s">
        <v>6</v>
      </c>
      <c r="K4" s="32" t="s">
        <v>8</v>
      </c>
      <c r="L4" s="32" t="s">
        <v>7</v>
      </c>
      <c r="M4" s="32" t="s">
        <v>9</v>
      </c>
      <c r="N4" s="32" t="s">
        <v>115</v>
      </c>
      <c r="O4" s="32" t="s">
        <v>11</v>
      </c>
      <c r="P4" s="32" t="s">
        <v>12</v>
      </c>
      <c r="Q4" s="32" t="s">
        <v>116</v>
      </c>
      <c r="R4" s="32" t="s">
        <v>103</v>
      </c>
      <c r="S4" s="32" t="s">
        <v>14</v>
      </c>
      <c r="T4" s="32" t="s">
        <v>15</v>
      </c>
    </row>
    <row r="5" spans="1:20" x14ac:dyDescent="0.25">
      <c r="A5" s="6" t="s">
        <v>17</v>
      </c>
      <c r="B5" s="7" t="s">
        <v>68</v>
      </c>
      <c r="C5" s="7" t="s">
        <v>92</v>
      </c>
      <c r="D5" s="9">
        <v>3203.09</v>
      </c>
      <c r="E5" s="9"/>
      <c r="F5" s="9"/>
      <c r="G5" s="9"/>
      <c r="H5" s="9">
        <v>550</v>
      </c>
      <c r="I5" s="9">
        <v>440</v>
      </c>
      <c r="J5" s="19">
        <f t="shared" ref="J5:J46" si="0">H5+I5</f>
        <v>990</v>
      </c>
      <c r="K5" s="9"/>
      <c r="L5" s="9"/>
      <c r="M5" s="9"/>
      <c r="N5" s="9">
        <f t="shared" ref="N5:N46" si="1">D5+E5+F5+G5+J5+K5+L5+M5</f>
        <v>4193.09</v>
      </c>
      <c r="O5" s="9">
        <v>72.81</v>
      </c>
      <c r="P5" s="9">
        <v>352.34</v>
      </c>
      <c r="Q5" s="9">
        <f>32.03+106.77</f>
        <v>138.80000000000001</v>
      </c>
      <c r="R5" s="9">
        <v>140.94</v>
      </c>
      <c r="S5" s="19">
        <f t="shared" ref="S5:S46" si="2">O5+P5+Q5+R5</f>
        <v>704.8900000000001</v>
      </c>
      <c r="T5" s="25">
        <f>N5-S5</f>
        <v>3488.2</v>
      </c>
    </row>
    <row r="6" spans="1:20" x14ac:dyDescent="0.25">
      <c r="A6" s="6" t="s">
        <v>18</v>
      </c>
      <c r="B6" s="7" t="s">
        <v>69</v>
      </c>
      <c r="C6" s="7" t="s">
        <v>93</v>
      </c>
      <c r="D6" s="9">
        <v>3203.09</v>
      </c>
      <c r="E6" s="9"/>
      <c r="F6" s="9"/>
      <c r="G6" s="9"/>
      <c r="H6" s="9">
        <v>550</v>
      </c>
      <c r="I6" s="9"/>
      <c r="J6" s="19">
        <f t="shared" si="0"/>
        <v>550</v>
      </c>
      <c r="K6" s="9"/>
      <c r="L6" s="9"/>
      <c r="M6" s="9"/>
      <c r="N6" s="9">
        <f t="shared" si="1"/>
        <v>3753.09</v>
      </c>
      <c r="O6" s="9">
        <v>42.43</v>
      </c>
      <c r="P6" s="9">
        <v>352.1</v>
      </c>
      <c r="Q6" s="9">
        <f>106.77+2.14</f>
        <v>108.91</v>
      </c>
      <c r="R6" s="9"/>
      <c r="S6" s="19">
        <f t="shared" si="2"/>
        <v>503.44000000000005</v>
      </c>
      <c r="T6" s="25">
        <f t="shared" ref="T6:T46" si="3">N6-S6</f>
        <v>3249.65</v>
      </c>
    </row>
    <row r="7" spans="1:20" x14ac:dyDescent="0.25">
      <c r="A7" s="10" t="s">
        <v>19</v>
      </c>
      <c r="B7" s="11" t="s">
        <v>70</v>
      </c>
      <c r="C7" s="11" t="s">
        <v>94</v>
      </c>
      <c r="D7" s="9">
        <v>11235</v>
      </c>
      <c r="E7" s="9">
        <v>374.5</v>
      </c>
      <c r="F7" s="9"/>
      <c r="G7" s="9"/>
      <c r="H7" s="9">
        <v>550</v>
      </c>
      <c r="I7" s="9"/>
      <c r="J7" s="19">
        <f t="shared" si="0"/>
        <v>550</v>
      </c>
      <c r="K7" s="9">
        <v>124.83</v>
      </c>
      <c r="L7" s="9"/>
      <c r="M7" s="9"/>
      <c r="N7" s="9">
        <f t="shared" si="1"/>
        <v>12284.33</v>
      </c>
      <c r="O7" s="9">
        <v>2011.14</v>
      </c>
      <c r="P7" s="9">
        <v>570.88</v>
      </c>
      <c r="Q7" s="9"/>
      <c r="R7" s="9"/>
      <c r="S7" s="19">
        <f t="shared" si="2"/>
        <v>2582.02</v>
      </c>
      <c r="T7" s="25">
        <f t="shared" si="3"/>
        <v>9702.31</v>
      </c>
    </row>
    <row r="8" spans="1:20" x14ac:dyDescent="0.25">
      <c r="A8" s="10" t="s">
        <v>20</v>
      </c>
      <c r="B8" s="11" t="s">
        <v>71</v>
      </c>
      <c r="C8" s="11" t="s">
        <v>95</v>
      </c>
      <c r="D8" s="9">
        <v>4688.79</v>
      </c>
      <c r="E8" s="9"/>
      <c r="F8" s="9"/>
      <c r="G8" s="9">
        <f>33.21+199.27</f>
        <v>232.48000000000002</v>
      </c>
      <c r="H8" s="9">
        <v>525</v>
      </c>
      <c r="I8" s="9">
        <v>167.2</v>
      </c>
      <c r="J8" s="19">
        <f t="shared" si="0"/>
        <v>692.2</v>
      </c>
      <c r="K8" s="9"/>
      <c r="L8" s="9"/>
      <c r="M8" s="9"/>
      <c r="N8" s="9">
        <f t="shared" si="1"/>
        <v>5613.47</v>
      </c>
      <c r="O8" s="9">
        <v>264.04000000000002</v>
      </c>
      <c r="P8" s="9">
        <v>541.34</v>
      </c>
      <c r="Q8" s="9"/>
      <c r="R8" s="9">
        <v>167.2</v>
      </c>
      <c r="S8" s="19">
        <f t="shared" si="2"/>
        <v>972.58000000000015</v>
      </c>
      <c r="T8" s="25">
        <f t="shared" si="3"/>
        <v>4640.8900000000003</v>
      </c>
    </row>
    <row r="9" spans="1:20" x14ac:dyDescent="0.25">
      <c r="A9" s="7" t="s">
        <v>22</v>
      </c>
      <c r="B9" s="7" t="s">
        <v>68</v>
      </c>
      <c r="C9" s="7" t="s">
        <v>92</v>
      </c>
      <c r="D9" s="9">
        <v>3203.09</v>
      </c>
      <c r="E9" s="9"/>
      <c r="F9" s="9"/>
      <c r="G9" s="9"/>
      <c r="H9" s="9">
        <v>550</v>
      </c>
      <c r="I9" s="9">
        <v>286</v>
      </c>
      <c r="J9" s="19">
        <f t="shared" si="0"/>
        <v>836</v>
      </c>
      <c r="K9" s="9"/>
      <c r="L9" s="9"/>
      <c r="M9" s="9"/>
      <c r="N9" s="9">
        <f t="shared" si="1"/>
        <v>4039.09</v>
      </c>
      <c r="O9" s="9">
        <v>55.74</v>
      </c>
      <c r="P9" s="9">
        <v>350.61</v>
      </c>
      <c r="Q9" s="9">
        <f>15.75+106.77+32.03</f>
        <v>154.55000000000001</v>
      </c>
      <c r="R9" s="9">
        <v>140.94</v>
      </c>
      <c r="S9" s="19">
        <f t="shared" si="2"/>
        <v>701.84000000000015</v>
      </c>
      <c r="T9" s="25">
        <f t="shared" si="3"/>
        <v>3337.25</v>
      </c>
    </row>
    <row r="10" spans="1:20" x14ac:dyDescent="0.25">
      <c r="A10" s="6" t="s">
        <v>23</v>
      </c>
      <c r="B10" s="7" t="s">
        <v>68</v>
      </c>
      <c r="C10" s="7" t="s">
        <v>96</v>
      </c>
      <c r="D10" s="9">
        <v>3203.09</v>
      </c>
      <c r="E10" s="9"/>
      <c r="F10" s="9"/>
      <c r="G10" s="9"/>
      <c r="H10" s="9">
        <v>550</v>
      </c>
      <c r="I10" s="9">
        <v>167.2</v>
      </c>
      <c r="J10" s="19">
        <f t="shared" si="0"/>
        <v>717.2</v>
      </c>
      <c r="K10" s="9"/>
      <c r="L10" s="9"/>
      <c r="M10" s="9"/>
      <c r="N10" s="9">
        <f t="shared" si="1"/>
        <v>3920.29</v>
      </c>
      <c r="O10" s="9">
        <v>72.56</v>
      </c>
      <c r="P10" s="9">
        <v>352.13</v>
      </c>
      <c r="Q10" s="9">
        <f>32.03+106.77+1.87</f>
        <v>140.67000000000002</v>
      </c>
      <c r="R10" s="9">
        <v>140.94</v>
      </c>
      <c r="S10" s="19">
        <f t="shared" si="2"/>
        <v>706.3</v>
      </c>
      <c r="T10" s="25">
        <f t="shared" si="3"/>
        <v>3213.99</v>
      </c>
    </row>
    <row r="11" spans="1:20" x14ac:dyDescent="0.25">
      <c r="A11" s="7" t="s">
        <v>25</v>
      </c>
      <c r="B11" s="7" t="s">
        <v>73</v>
      </c>
      <c r="C11" s="7" t="s">
        <v>98</v>
      </c>
      <c r="D11" s="9">
        <v>8554.7000000000007</v>
      </c>
      <c r="E11" s="12"/>
      <c r="F11" s="9"/>
      <c r="G11" s="9"/>
      <c r="H11" s="9">
        <v>550</v>
      </c>
      <c r="I11" s="9"/>
      <c r="J11" s="19">
        <f t="shared" si="0"/>
        <v>550</v>
      </c>
      <c r="K11" s="12"/>
      <c r="L11" s="9"/>
      <c r="M11" s="9"/>
      <c r="N11" s="9">
        <f t="shared" si="1"/>
        <v>9104.7000000000007</v>
      </c>
      <c r="O11" s="9">
        <v>1326.19</v>
      </c>
      <c r="P11" s="9">
        <v>570.88</v>
      </c>
      <c r="Q11" s="9"/>
      <c r="R11" s="9"/>
      <c r="S11" s="19">
        <f t="shared" si="2"/>
        <v>1897.0700000000002</v>
      </c>
      <c r="T11" s="25">
        <f t="shared" si="3"/>
        <v>7207.630000000001</v>
      </c>
    </row>
    <row r="12" spans="1:20" x14ac:dyDescent="0.25">
      <c r="A12" s="7" t="s">
        <v>26</v>
      </c>
      <c r="B12" s="7" t="s">
        <v>68</v>
      </c>
      <c r="C12" s="7" t="s">
        <v>96</v>
      </c>
      <c r="D12" s="9">
        <v>3203.09</v>
      </c>
      <c r="E12" s="9"/>
      <c r="F12" s="9"/>
      <c r="G12" s="9"/>
      <c r="H12" s="9">
        <v>550</v>
      </c>
      <c r="I12" s="9">
        <v>330</v>
      </c>
      <c r="J12" s="19">
        <f t="shared" si="0"/>
        <v>880</v>
      </c>
      <c r="K12" s="9"/>
      <c r="L12" s="9"/>
      <c r="M12" s="9"/>
      <c r="N12" s="9">
        <f t="shared" si="1"/>
        <v>4083.09</v>
      </c>
      <c r="O12" s="9">
        <v>72.81</v>
      </c>
      <c r="P12" s="9">
        <v>352.34</v>
      </c>
      <c r="Q12" s="9">
        <v>106.77</v>
      </c>
      <c r="R12" s="9">
        <v>140.94</v>
      </c>
      <c r="S12" s="19">
        <f t="shared" si="2"/>
        <v>672.8599999999999</v>
      </c>
      <c r="T12" s="25">
        <f t="shared" si="3"/>
        <v>3410.2300000000005</v>
      </c>
    </row>
    <row r="13" spans="1:20" x14ac:dyDescent="0.25">
      <c r="A13" s="13" t="s">
        <v>27</v>
      </c>
      <c r="B13" s="14" t="s">
        <v>74</v>
      </c>
      <c r="C13" s="14" t="s">
        <v>99</v>
      </c>
      <c r="D13" s="9">
        <v>8554.7000000000007</v>
      </c>
      <c r="E13" s="9"/>
      <c r="F13" s="9"/>
      <c r="G13" s="9"/>
      <c r="H13" s="9">
        <v>475</v>
      </c>
      <c r="I13" s="9">
        <v>140.6</v>
      </c>
      <c r="J13" s="19">
        <f t="shared" si="0"/>
        <v>615.6</v>
      </c>
      <c r="K13" s="9"/>
      <c r="L13" s="9"/>
      <c r="M13" s="9"/>
      <c r="N13" s="9">
        <f t="shared" si="1"/>
        <v>9170.3000000000011</v>
      </c>
      <c r="O13" s="9">
        <v>1326.19</v>
      </c>
      <c r="P13" s="9">
        <v>570.88</v>
      </c>
      <c r="Q13" s="9"/>
      <c r="R13" s="9">
        <v>140.6</v>
      </c>
      <c r="S13" s="19">
        <f t="shared" si="2"/>
        <v>2037.67</v>
      </c>
      <c r="T13" s="25">
        <f t="shared" si="3"/>
        <v>7132.630000000001</v>
      </c>
    </row>
    <row r="14" spans="1:20" x14ac:dyDescent="0.25">
      <c r="A14" s="13" t="s">
        <v>117</v>
      </c>
      <c r="B14" s="15" t="s">
        <v>75</v>
      </c>
      <c r="C14" s="15" t="s">
        <v>95</v>
      </c>
      <c r="D14" s="9">
        <v>0</v>
      </c>
      <c r="E14" s="9"/>
      <c r="F14" s="9"/>
      <c r="G14" s="9"/>
      <c r="H14" s="9">
        <v>0</v>
      </c>
      <c r="I14" s="9"/>
      <c r="J14" s="19">
        <f t="shared" si="0"/>
        <v>0</v>
      </c>
      <c r="K14" s="9"/>
      <c r="L14" s="9"/>
      <c r="M14" s="9">
        <v>4940.5200000000004</v>
      </c>
      <c r="N14" s="9">
        <f t="shared" si="1"/>
        <v>4940.5200000000004</v>
      </c>
      <c r="O14" s="9">
        <v>310.55</v>
      </c>
      <c r="P14" s="9">
        <v>543.46</v>
      </c>
      <c r="Q14" s="9"/>
      <c r="R14" s="9"/>
      <c r="S14" s="19">
        <f t="shared" si="2"/>
        <v>854.01</v>
      </c>
      <c r="T14" s="25">
        <f t="shared" si="3"/>
        <v>4086.51</v>
      </c>
    </row>
    <row r="15" spans="1:20" x14ac:dyDescent="0.25">
      <c r="A15" s="6" t="s">
        <v>29</v>
      </c>
      <c r="B15" s="7" t="s">
        <v>68</v>
      </c>
      <c r="C15" s="7" t="s">
        <v>92</v>
      </c>
      <c r="D15" s="9">
        <v>3203.09</v>
      </c>
      <c r="E15" s="9"/>
      <c r="F15" s="9"/>
      <c r="G15" s="9"/>
      <c r="H15" s="9">
        <v>550</v>
      </c>
      <c r="I15" s="9">
        <v>330</v>
      </c>
      <c r="J15" s="19">
        <f t="shared" si="0"/>
        <v>880</v>
      </c>
      <c r="K15" s="9"/>
      <c r="L15" s="9"/>
      <c r="M15" s="9"/>
      <c r="N15" s="9">
        <f t="shared" si="1"/>
        <v>4083.09</v>
      </c>
      <c r="O15" s="9">
        <v>72.81</v>
      </c>
      <c r="P15" s="9">
        <v>352.34</v>
      </c>
      <c r="Q15" s="9">
        <f>32.03+106.77</f>
        <v>138.80000000000001</v>
      </c>
      <c r="R15" s="9">
        <v>140.94</v>
      </c>
      <c r="S15" s="19">
        <f t="shared" si="2"/>
        <v>704.8900000000001</v>
      </c>
      <c r="T15" s="25">
        <f t="shared" si="3"/>
        <v>3378.2</v>
      </c>
    </row>
    <row r="16" spans="1:20" x14ac:dyDescent="0.25">
      <c r="A16" s="6" t="s">
        <v>30</v>
      </c>
      <c r="B16" s="7" t="s">
        <v>76</v>
      </c>
      <c r="C16" s="7" t="s">
        <v>97</v>
      </c>
      <c r="D16" s="9">
        <f>7325.93+154.07</f>
        <v>7480</v>
      </c>
      <c r="E16" s="9"/>
      <c r="F16" s="9"/>
      <c r="G16" s="9"/>
      <c r="H16" s="9">
        <v>550</v>
      </c>
      <c r="I16" s="9">
        <v>162.80000000000001</v>
      </c>
      <c r="J16" s="19">
        <f t="shared" si="0"/>
        <v>712.8</v>
      </c>
      <c r="K16" s="9"/>
      <c r="L16" s="9"/>
      <c r="M16" s="9"/>
      <c r="N16" s="9">
        <f t="shared" si="1"/>
        <v>8192.7999999999993</v>
      </c>
      <c r="O16" s="9">
        <v>1027.96</v>
      </c>
      <c r="P16" s="9">
        <v>570.88</v>
      </c>
      <c r="Q16" s="9">
        <v>9.77</v>
      </c>
      <c r="R16" s="9">
        <v>162.80000000000001</v>
      </c>
      <c r="S16" s="19">
        <f t="shared" si="2"/>
        <v>1771.41</v>
      </c>
      <c r="T16" s="25">
        <f t="shared" si="3"/>
        <v>6421.3899999999994</v>
      </c>
    </row>
    <row r="17" spans="1:20" x14ac:dyDescent="0.25">
      <c r="A17" s="6" t="s">
        <v>31</v>
      </c>
      <c r="B17" s="7" t="s">
        <v>77</v>
      </c>
      <c r="C17" s="7" t="s">
        <v>96</v>
      </c>
      <c r="D17" s="9">
        <f>7325.93+154.07</f>
        <v>7480</v>
      </c>
      <c r="E17" s="9"/>
      <c r="F17" s="9"/>
      <c r="G17" s="9"/>
      <c r="H17" s="9">
        <v>550</v>
      </c>
      <c r="I17" s="9"/>
      <c r="J17" s="19">
        <f t="shared" si="0"/>
        <v>550</v>
      </c>
      <c r="K17" s="9"/>
      <c r="L17" s="9"/>
      <c r="M17" s="9"/>
      <c r="N17" s="9">
        <f t="shared" si="1"/>
        <v>8030</v>
      </c>
      <c r="O17" s="9">
        <v>1030.6500000000001</v>
      </c>
      <c r="P17" s="9">
        <v>570.88</v>
      </c>
      <c r="Q17" s="9">
        <v>249.33</v>
      </c>
      <c r="R17" s="9"/>
      <c r="S17" s="19">
        <f t="shared" si="2"/>
        <v>1850.8600000000001</v>
      </c>
      <c r="T17" s="25">
        <f t="shared" si="3"/>
        <v>6179.1399999999994</v>
      </c>
    </row>
    <row r="18" spans="1:20" x14ac:dyDescent="0.25">
      <c r="A18" s="6" t="s">
        <v>32</v>
      </c>
      <c r="B18" s="7" t="s">
        <v>78</v>
      </c>
      <c r="C18" s="7" t="s">
        <v>100</v>
      </c>
      <c r="D18" s="9">
        <v>11235</v>
      </c>
      <c r="E18" s="9"/>
      <c r="F18" s="9"/>
      <c r="G18" s="9"/>
      <c r="H18" s="9">
        <v>550</v>
      </c>
      <c r="I18" s="9"/>
      <c r="J18" s="19">
        <f t="shared" si="0"/>
        <v>550</v>
      </c>
      <c r="K18" s="9"/>
      <c r="L18" s="9"/>
      <c r="M18" s="9"/>
      <c r="N18" s="9">
        <f t="shared" si="1"/>
        <v>11785</v>
      </c>
      <c r="O18" s="9">
        <v>2063.27</v>
      </c>
      <c r="P18" s="9">
        <v>570.88</v>
      </c>
      <c r="Q18" s="9"/>
      <c r="R18" s="9"/>
      <c r="S18" s="19">
        <f t="shared" si="2"/>
        <v>2634.15</v>
      </c>
      <c r="T18" s="25">
        <f t="shared" si="3"/>
        <v>9150.85</v>
      </c>
    </row>
    <row r="19" spans="1:20" x14ac:dyDescent="0.25">
      <c r="A19" s="6" t="s">
        <v>34</v>
      </c>
      <c r="B19" s="16" t="s">
        <v>79</v>
      </c>
      <c r="C19" s="7" t="s">
        <v>96</v>
      </c>
      <c r="D19" s="9">
        <v>11235</v>
      </c>
      <c r="E19" s="9"/>
      <c r="F19" s="9"/>
      <c r="G19" s="9"/>
      <c r="H19" s="9">
        <v>550</v>
      </c>
      <c r="I19" s="9">
        <v>286</v>
      </c>
      <c r="J19" s="19">
        <f t="shared" si="0"/>
        <v>836</v>
      </c>
      <c r="K19" s="9"/>
      <c r="L19" s="9"/>
      <c r="M19" s="9"/>
      <c r="N19" s="9">
        <f t="shared" si="1"/>
        <v>12071</v>
      </c>
      <c r="O19" s="9">
        <v>2063.27</v>
      </c>
      <c r="P19" s="9">
        <v>570.88</v>
      </c>
      <c r="Q19" s="9"/>
      <c r="R19" s="9">
        <v>286</v>
      </c>
      <c r="S19" s="19">
        <f t="shared" si="2"/>
        <v>2920.15</v>
      </c>
      <c r="T19" s="25">
        <f t="shared" si="3"/>
        <v>9150.85</v>
      </c>
    </row>
    <row r="20" spans="1:20" x14ac:dyDescent="0.25">
      <c r="A20" s="6" t="s">
        <v>35</v>
      </c>
      <c r="B20" s="7" t="s">
        <v>80</v>
      </c>
      <c r="C20" s="7" t="s">
        <v>101</v>
      </c>
      <c r="D20" s="9">
        <v>3203.09</v>
      </c>
      <c r="E20" s="9"/>
      <c r="F20" s="9"/>
      <c r="G20" s="9"/>
      <c r="H20" s="9">
        <v>550</v>
      </c>
      <c r="I20" s="9"/>
      <c r="J20" s="19">
        <f t="shared" si="0"/>
        <v>550</v>
      </c>
      <c r="K20" s="9"/>
      <c r="L20" s="9"/>
      <c r="M20" s="9"/>
      <c r="N20" s="9">
        <f t="shared" si="1"/>
        <v>3753.09</v>
      </c>
      <c r="O20" s="9">
        <v>68.94</v>
      </c>
      <c r="P20" s="9">
        <v>348.93</v>
      </c>
      <c r="Q20" s="9">
        <f>106.77+30.96</f>
        <v>137.72999999999999</v>
      </c>
      <c r="R20" s="9"/>
      <c r="S20" s="19">
        <f t="shared" si="2"/>
        <v>555.6</v>
      </c>
      <c r="T20" s="25">
        <f t="shared" si="3"/>
        <v>3197.4900000000002</v>
      </c>
    </row>
    <row r="21" spans="1:20" x14ac:dyDescent="0.25">
      <c r="A21" s="6" t="s">
        <v>36</v>
      </c>
      <c r="B21" s="7" t="s">
        <v>68</v>
      </c>
      <c r="C21" s="7" t="s">
        <v>92</v>
      </c>
      <c r="D21" s="9">
        <v>3203.09</v>
      </c>
      <c r="E21" s="9"/>
      <c r="F21" s="9"/>
      <c r="G21" s="9"/>
      <c r="H21" s="9">
        <v>550</v>
      </c>
      <c r="I21" s="9"/>
      <c r="J21" s="19">
        <f t="shared" si="0"/>
        <v>550</v>
      </c>
      <c r="K21" s="9"/>
      <c r="L21" s="9"/>
      <c r="M21" s="9"/>
      <c r="N21" s="9">
        <f t="shared" si="1"/>
        <v>3753.09</v>
      </c>
      <c r="O21" s="9">
        <v>60.62</v>
      </c>
      <c r="P21" s="9">
        <v>335.22</v>
      </c>
      <c r="Q21" s="9">
        <f>155.62+106.77</f>
        <v>262.39</v>
      </c>
      <c r="R21" s="9"/>
      <c r="S21" s="19">
        <f t="shared" si="2"/>
        <v>658.23</v>
      </c>
      <c r="T21" s="25">
        <f t="shared" si="3"/>
        <v>3094.86</v>
      </c>
    </row>
    <row r="22" spans="1:20" x14ac:dyDescent="0.25">
      <c r="A22" s="6" t="s">
        <v>37</v>
      </c>
      <c r="B22" s="7" t="s">
        <v>77</v>
      </c>
      <c r="C22" s="7" t="s">
        <v>96</v>
      </c>
      <c r="D22" s="9">
        <f>4883.95+154.07</f>
        <v>5038.0199999999995</v>
      </c>
      <c r="E22" s="9">
        <v>2686.17</v>
      </c>
      <c r="F22" s="9"/>
      <c r="G22" s="9"/>
      <c r="H22" s="9">
        <v>325</v>
      </c>
      <c r="I22" s="9"/>
      <c r="J22" s="19">
        <f t="shared" si="0"/>
        <v>325</v>
      </c>
      <c r="K22" s="9">
        <v>895.39</v>
      </c>
      <c r="L22" s="9"/>
      <c r="M22" s="9"/>
      <c r="N22" s="9">
        <f t="shared" si="1"/>
        <v>8944.58</v>
      </c>
      <c r="O22" s="9">
        <v>368.98</v>
      </c>
      <c r="P22" s="9">
        <v>570.88</v>
      </c>
      <c r="Q22" s="9">
        <v>251.9</v>
      </c>
      <c r="R22" s="9"/>
      <c r="S22" s="19">
        <f t="shared" si="2"/>
        <v>1191.76</v>
      </c>
      <c r="T22" s="25">
        <f t="shared" si="3"/>
        <v>7752.82</v>
      </c>
    </row>
    <row r="23" spans="1:20" x14ac:dyDescent="0.25">
      <c r="A23" s="6" t="s">
        <v>128</v>
      </c>
      <c r="B23" s="17" t="s">
        <v>81</v>
      </c>
      <c r="C23" s="7" t="s">
        <v>98</v>
      </c>
      <c r="D23" s="9">
        <v>0</v>
      </c>
      <c r="E23" s="9"/>
      <c r="F23" s="9"/>
      <c r="G23" s="9"/>
      <c r="H23" s="9">
        <v>0</v>
      </c>
      <c r="I23" s="9"/>
      <c r="J23" s="19">
        <f t="shared" si="0"/>
        <v>0</v>
      </c>
      <c r="K23" s="9"/>
      <c r="L23" s="9"/>
      <c r="M23" s="9"/>
      <c r="N23" s="9">
        <f t="shared" si="1"/>
        <v>0</v>
      </c>
      <c r="O23" s="9"/>
      <c r="P23" s="9"/>
      <c r="Q23" s="9"/>
      <c r="R23" s="9"/>
      <c r="S23" s="19">
        <f t="shared" si="2"/>
        <v>0</v>
      </c>
      <c r="T23" s="25">
        <f t="shared" si="3"/>
        <v>0</v>
      </c>
    </row>
    <row r="24" spans="1:20" x14ac:dyDescent="0.25">
      <c r="A24" s="13" t="s">
        <v>40</v>
      </c>
      <c r="B24" s="15" t="s">
        <v>69</v>
      </c>
      <c r="C24" s="7" t="s">
        <v>100</v>
      </c>
      <c r="D24" s="9">
        <v>3203.09</v>
      </c>
      <c r="E24" s="9"/>
      <c r="F24" s="9"/>
      <c r="G24" s="9"/>
      <c r="H24" s="9">
        <v>550</v>
      </c>
      <c r="I24" s="9">
        <v>286</v>
      </c>
      <c r="J24" s="19">
        <f t="shared" si="0"/>
        <v>836</v>
      </c>
      <c r="K24" s="9"/>
      <c r="L24" s="9"/>
      <c r="M24" s="9"/>
      <c r="N24" s="9">
        <f t="shared" si="1"/>
        <v>4039.09</v>
      </c>
      <c r="O24" s="9">
        <v>72.28</v>
      </c>
      <c r="P24" s="9">
        <v>351.9</v>
      </c>
      <c r="Q24" s="9">
        <f>106.77+4</f>
        <v>110.77</v>
      </c>
      <c r="R24" s="9">
        <v>140.94</v>
      </c>
      <c r="S24" s="19">
        <f t="shared" si="2"/>
        <v>675.88999999999987</v>
      </c>
      <c r="T24" s="25">
        <f t="shared" si="3"/>
        <v>3363.2000000000003</v>
      </c>
    </row>
    <row r="25" spans="1:20" x14ac:dyDescent="0.25">
      <c r="A25" s="6" t="s">
        <v>41</v>
      </c>
      <c r="B25" s="7" t="s">
        <v>77</v>
      </c>
      <c r="C25" s="7" t="s">
        <v>96</v>
      </c>
      <c r="D25" s="9">
        <f>7325.93+154.07</f>
        <v>7480</v>
      </c>
      <c r="E25" s="9"/>
      <c r="F25" s="9"/>
      <c r="G25" s="9"/>
      <c r="H25" s="9">
        <v>550</v>
      </c>
      <c r="I25" s="9"/>
      <c r="J25" s="19">
        <f t="shared" si="0"/>
        <v>550</v>
      </c>
      <c r="K25" s="9"/>
      <c r="L25" s="9"/>
      <c r="M25" s="9"/>
      <c r="N25" s="9">
        <f t="shared" si="1"/>
        <v>8030</v>
      </c>
      <c r="O25" s="9">
        <v>1030.6500000000001</v>
      </c>
      <c r="P25" s="9">
        <v>570.88</v>
      </c>
      <c r="Q25" s="9"/>
      <c r="R25" s="9"/>
      <c r="S25" s="19">
        <f t="shared" si="2"/>
        <v>1601.5300000000002</v>
      </c>
      <c r="T25" s="25">
        <f t="shared" si="3"/>
        <v>6428.4699999999993</v>
      </c>
    </row>
    <row r="26" spans="1:20" x14ac:dyDescent="0.25">
      <c r="A26" s="6" t="s">
        <v>42</v>
      </c>
      <c r="B26" s="7" t="s">
        <v>69</v>
      </c>
      <c r="C26" s="7" t="s">
        <v>100</v>
      </c>
      <c r="D26" s="9">
        <v>3203.09</v>
      </c>
      <c r="E26" s="9"/>
      <c r="F26" s="9"/>
      <c r="G26" s="9"/>
      <c r="H26" s="9">
        <v>550</v>
      </c>
      <c r="I26" s="9">
        <v>286</v>
      </c>
      <c r="J26" s="19">
        <f t="shared" si="0"/>
        <v>836</v>
      </c>
      <c r="K26" s="9"/>
      <c r="L26" s="9"/>
      <c r="M26" s="9"/>
      <c r="N26" s="9">
        <f t="shared" si="1"/>
        <v>4039.09</v>
      </c>
      <c r="O26" s="9">
        <v>72.81</v>
      </c>
      <c r="P26" s="9">
        <v>352.34</v>
      </c>
      <c r="Q26" s="9">
        <v>106.77</v>
      </c>
      <c r="R26" s="9">
        <v>140.94</v>
      </c>
      <c r="S26" s="19">
        <f t="shared" si="2"/>
        <v>672.8599999999999</v>
      </c>
      <c r="T26" s="25">
        <f t="shared" si="3"/>
        <v>3366.2300000000005</v>
      </c>
    </row>
    <row r="27" spans="1:20" x14ac:dyDescent="0.25">
      <c r="A27" s="6" t="s">
        <v>43</v>
      </c>
      <c r="B27" s="7" t="s">
        <v>76</v>
      </c>
      <c r="C27" s="7" t="s">
        <v>97</v>
      </c>
      <c r="D27" s="9">
        <f>7325.93+154.07</f>
        <v>7480</v>
      </c>
      <c r="E27" s="12"/>
      <c r="F27" s="9"/>
      <c r="G27" s="9"/>
      <c r="H27" s="9">
        <v>550</v>
      </c>
      <c r="I27" s="9">
        <v>162.80000000000001</v>
      </c>
      <c r="J27" s="19">
        <f t="shared" si="0"/>
        <v>712.8</v>
      </c>
      <c r="K27" s="9"/>
      <c r="L27" s="9"/>
      <c r="M27" s="9"/>
      <c r="N27" s="9">
        <f t="shared" si="1"/>
        <v>8192.7999999999993</v>
      </c>
      <c r="O27" s="9">
        <v>1022.76</v>
      </c>
      <c r="P27" s="9">
        <v>570.88</v>
      </c>
      <c r="Q27" s="9">
        <v>28.69</v>
      </c>
      <c r="R27" s="9">
        <v>162.80000000000001</v>
      </c>
      <c r="S27" s="19">
        <f t="shared" si="2"/>
        <v>1785.1299999999999</v>
      </c>
      <c r="T27" s="25">
        <f t="shared" si="3"/>
        <v>6407.6699999999992</v>
      </c>
    </row>
    <row r="28" spans="1:20" x14ac:dyDescent="0.25">
      <c r="A28" s="7" t="s">
        <v>44</v>
      </c>
      <c r="B28" s="7" t="s">
        <v>69</v>
      </c>
      <c r="C28" s="7" t="s">
        <v>100</v>
      </c>
      <c r="D28" s="9">
        <v>3203.09</v>
      </c>
      <c r="E28" s="9"/>
      <c r="F28" s="9"/>
      <c r="G28" s="9"/>
      <c r="H28" s="9">
        <v>550</v>
      </c>
      <c r="I28" s="9">
        <v>451</v>
      </c>
      <c r="J28" s="19">
        <f t="shared" si="0"/>
        <v>1001</v>
      </c>
      <c r="K28" s="9"/>
      <c r="L28" s="9"/>
      <c r="M28" s="9"/>
      <c r="N28" s="9">
        <f t="shared" si="1"/>
        <v>4204.09</v>
      </c>
      <c r="O28" s="9">
        <v>72.099999999999994</v>
      </c>
      <c r="P28" s="9">
        <v>351.75</v>
      </c>
      <c r="Q28" s="9">
        <f>5.34+106.77</f>
        <v>112.11</v>
      </c>
      <c r="R28" s="9">
        <v>140.94</v>
      </c>
      <c r="S28" s="19">
        <f t="shared" si="2"/>
        <v>676.90000000000009</v>
      </c>
      <c r="T28" s="25">
        <f t="shared" si="3"/>
        <v>3527.19</v>
      </c>
    </row>
    <row r="29" spans="1:20" x14ac:dyDescent="0.25">
      <c r="A29" s="7" t="s">
        <v>45</v>
      </c>
      <c r="B29" s="7" t="s">
        <v>82</v>
      </c>
      <c r="C29" s="7" t="s">
        <v>97</v>
      </c>
      <c r="D29" s="9">
        <v>3745</v>
      </c>
      <c r="E29" s="9">
        <v>7490</v>
      </c>
      <c r="F29" s="9"/>
      <c r="G29" s="9"/>
      <c r="H29" s="9">
        <v>200</v>
      </c>
      <c r="I29" s="9">
        <v>424.96</v>
      </c>
      <c r="J29" s="19">
        <f t="shared" si="0"/>
        <v>624.96</v>
      </c>
      <c r="K29" s="9">
        <v>2496.66</v>
      </c>
      <c r="L29" s="9"/>
      <c r="M29" s="9"/>
      <c r="N29" s="9">
        <f t="shared" si="1"/>
        <v>14356.619999999999</v>
      </c>
      <c r="O29" s="9">
        <f>206.95+1719.98</f>
        <v>1926.93</v>
      </c>
      <c r="P29" s="9"/>
      <c r="Q29" s="9"/>
      <c r="R29" s="9">
        <v>179.76</v>
      </c>
      <c r="S29" s="19">
        <f t="shared" si="2"/>
        <v>2106.69</v>
      </c>
      <c r="T29" s="25">
        <f t="shared" si="3"/>
        <v>12249.929999999998</v>
      </c>
    </row>
    <row r="30" spans="1:20" x14ac:dyDescent="0.25">
      <c r="A30" s="7" t="s">
        <v>46</v>
      </c>
      <c r="B30" s="7" t="s">
        <v>83</v>
      </c>
      <c r="C30" s="7" t="s">
        <v>94</v>
      </c>
      <c r="D30" s="9">
        <v>3203.09</v>
      </c>
      <c r="E30" s="9"/>
      <c r="F30" s="9"/>
      <c r="G30" s="9"/>
      <c r="H30" s="9">
        <v>550</v>
      </c>
      <c r="I30" s="9">
        <v>286</v>
      </c>
      <c r="J30" s="19">
        <f t="shared" si="0"/>
        <v>836</v>
      </c>
      <c r="K30" s="9"/>
      <c r="L30" s="9"/>
      <c r="M30" s="9"/>
      <c r="N30" s="9">
        <f t="shared" si="1"/>
        <v>4039.09</v>
      </c>
      <c r="O30" s="9">
        <v>71.14</v>
      </c>
      <c r="P30" s="9">
        <v>350.96</v>
      </c>
      <c r="Q30" s="9">
        <f>12.55+106.77+32.03</f>
        <v>151.35</v>
      </c>
      <c r="R30" s="9">
        <v>140.94</v>
      </c>
      <c r="S30" s="19">
        <f t="shared" si="2"/>
        <v>714.38999999999987</v>
      </c>
      <c r="T30" s="25">
        <f t="shared" si="3"/>
        <v>3324.7000000000003</v>
      </c>
    </row>
    <row r="31" spans="1:20" x14ac:dyDescent="0.25">
      <c r="A31" s="7" t="s">
        <v>47</v>
      </c>
      <c r="B31" s="7" t="s">
        <v>84</v>
      </c>
      <c r="C31" s="7" t="s">
        <v>95</v>
      </c>
      <c r="D31" s="9">
        <v>11235</v>
      </c>
      <c r="E31" s="9"/>
      <c r="F31" s="9"/>
      <c r="G31" s="9"/>
      <c r="H31" s="9">
        <v>550</v>
      </c>
      <c r="I31" s="9">
        <v>167.2</v>
      </c>
      <c r="J31" s="19">
        <f t="shared" si="0"/>
        <v>717.2</v>
      </c>
      <c r="K31" s="9"/>
      <c r="L31" s="9"/>
      <c r="M31" s="9"/>
      <c r="N31" s="9">
        <f t="shared" si="1"/>
        <v>11952.2</v>
      </c>
      <c r="O31" s="9">
        <v>2063.27</v>
      </c>
      <c r="P31" s="9">
        <v>570.88</v>
      </c>
      <c r="Q31" s="9"/>
      <c r="R31" s="9">
        <v>167.2</v>
      </c>
      <c r="S31" s="19">
        <f t="shared" si="2"/>
        <v>2801.35</v>
      </c>
      <c r="T31" s="25">
        <f t="shared" si="3"/>
        <v>9150.85</v>
      </c>
    </row>
    <row r="32" spans="1:20" x14ac:dyDescent="0.25">
      <c r="A32" s="7" t="s">
        <v>48</v>
      </c>
      <c r="B32" s="7" t="s">
        <v>85</v>
      </c>
      <c r="C32" s="7" t="s">
        <v>102</v>
      </c>
      <c r="D32" s="9">
        <v>8554.7000000000007</v>
      </c>
      <c r="E32" s="9"/>
      <c r="F32" s="9"/>
      <c r="G32" s="9"/>
      <c r="H32" s="9">
        <v>550</v>
      </c>
      <c r="I32" s="9">
        <v>0</v>
      </c>
      <c r="J32" s="19">
        <f t="shared" si="0"/>
        <v>550</v>
      </c>
      <c r="K32" s="9"/>
      <c r="L32" s="9"/>
      <c r="M32" s="9"/>
      <c r="N32" s="9">
        <f t="shared" si="1"/>
        <v>9104.7000000000007</v>
      </c>
      <c r="O32" s="9">
        <v>1326.19</v>
      </c>
      <c r="P32" s="9">
        <v>570.88</v>
      </c>
      <c r="Q32" s="9">
        <v>285.16000000000003</v>
      </c>
      <c r="R32" s="9"/>
      <c r="S32" s="19">
        <f t="shared" si="2"/>
        <v>2182.23</v>
      </c>
      <c r="T32" s="25">
        <f t="shared" si="3"/>
        <v>6922.4700000000012</v>
      </c>
    </row>
    <row r="33" spans="1:20" x14ac:dyDescent="0.25">
      <c r="A33" s="7" t="s">
        <v>49</v>
      </c>
      <c r="B33" s="7" t="s">
        <v>86</v>
      </c>
      <c r="C33" s="7" t="s">
        <v>102</v>
      </c>
      <c r="D33" s="9">
        <v>6183.65</v>
      </c>
      <c r="E33" s="9"/>
      <c r="F33" s="9"/>
      <c r="G33" s="9"/>
      <c r="H33" s="9">
        <v>550</v>
      </c>
      <c r="I33" s="9">
        <v>162.80000000000001</v>
      </c>
      <c r="J33" s="19">
        <f t="shared" si="0"/>
        <v>712.8</v>
      </c>
      <c r="K33" s="9"/>
      <c r="L33" s="9"/>
      <c r="M33" s="9"/>
      <c r="N33" s="9">
        <f t="shared" si="1"/>
        <v>6896.45</v>
      </c>
      <c r="O33" s="9">
        <v>671.03</v>
      </c>
      <c r="P33" s="9">
        <v>570.88</v>
      </c>
      <c r="Q33" s="9">
        <f>206.12+11.34</f>
        <v>217.46</v>
      </c>
      <c r="R33" s="9">
        <v>162.80000000000001</v>
      </c>
      <c r="S33" s="19">
        <f t="shared" si="2"/>
        <v>1622.1699999999998</v>
      </c>
      <c r="T33" s="25">
        <f t="shared" si="3"/>
        <v>5274.28</v>
      </c>
    </row>
    <row r="34" spans="1:20" x14ac:dyDescent="0.25">
      <c r="A34" s="7" t="s">
        <v>50</v>
      </c>
      <c r="B34" s="7" t="s">
        <v>80</v>
      </c>
      <c r="C34" s="7" t="s">
        <v>101</v>
      </c>
      <c r="D34" s="9">
        <v>3203.09</v>
      </c>
      <c r="E34" s="9"/>
      <c r="F34" s="9"/>
      <c r="G34" s="9"/>
      <c r="H34" s="9">
        <v>550</v>
      </c>
      <c r="I34" s="9">
        <v>217.8</v>
      </c>
      <c r="J34" s="19">
        <f t="shared" si="0"/>
        <v>767.8</v>
      </c>
      <c r="K34" s="9"/>
      <c r="L34" s="9"/>
      <c r="M34" s="9"/>
      <c r="N34" s="9">
        <f t="shared" si="1"/>
        <v>3970.8900000000003</v>
      </c>
      <c r="O34" s="9">
        <v>72.81</v>
      </c>
      <c r="P34" s="9">
        <v>352.34</v>
      </c>
      <c r="Q34" s="9">
        <f>32.03+106.77</f>
        <v>138.80000000000001</v>
      </c>
      <c r="R34" s="9">
        <v>140.94</v>
      </c>
      <c r="S34" s="19">
        <f t="shared" si="2"/>
        <v>704.8900000000001</v>
      </c>
      <c r="T34" s="25">
        <f t="shared" si="3"/>
        <v>3266</v>
      </c>
    </row>
    <row r="35" spans="1:20" x14ac:dyDescent="0.25">
      <c r="A35" s="6" t="s">
        <v>51</v>
      </c>
      <c r="B35" s="7" t="s">
        <v>68</v>
      </c>
      <c r="C35" s="7" t="s">
        <v>92</v>
      </c>
      <c r="D35" s="9">
        <v>3203.09</v>
      </c>
      <c r="E35" s="9"/>
      <c r="F35" s="9"/>
      <c r="G35" s="9"/>
      <c r="H35" s="9">
        <v>550</v>
      </c>
      <c r="I35" s="9">
        <v>286</v>
      </c>
      <c r="J35" s="19">
        <f t="shared" si="0"/>
        <v>836</v>
      </c>
      <c r="K35" s="12"/>
      <c r="L35" s="9"/>
      <c r="M35" s="9"/>
      <c r="N35" s="9">
        <f t="shared" si="1"/>
        <v>4039.09</v>
      </c>
      <c r="O35" s="9">
        <v>69.709999999999994</v>
      </c>
      <c r="P35" s="9">
        <v>349.79</v>
      </c>
      <c r="Q35" s="9">
        <f>23.22+32.03+106.77</f>
        <v>162.01999999999998</v>
      </c>
      <c r="R35" s="9">
        <v>140.94</v>
      </c>
      <c r="S35" s="19">
        <f t="shared" si="2"/>
        <v>722.46</v>
      </c>
      <c r="T35" s="25">
        <f t="shared" si="3"/>
        <v>3316.63</v>
      </c>
    </row>
    <row r="36" spans="1:20" x14ac:dyDescent="0.25">
      <c r="A36" s="7" t="s">
        <v>53</v>
      </c>
      <c r="B36" s="7" t="s">
        <v>68</v>
      </c>
      <c r="C36" s="7" t="s">
        <v>92</v>
      </c>
      <c r="D36" s="9">
        <v>3203.09</v>
      </c>
      <c r="E36" s="9"/>
      <c r="F36" s="9"/>
      <c r="G36" s="9"/>
      <c r="H36" s="9">
        <v>550</v>
      </c>
      <c r="I36" s="9"/>
      <c r="J36" s="19">
        <f t="shared" si="0"/>
        <v>550</v>
      </c>
      <c r="K36" s="9"/>
      <c r="L36" s="9"/>
      <c r="M36" s="9"/>
      <c r="N36" s="9">
        <f t="shared" si="1"/>
        <v>3753.09</v>
      </c>
      <c r="O36" s="9">
        <v>70.099999999999994</v>
      </c>
      <c r="P36" s="9">
        <v>350.11</v>
      </c>
      <c r="Q36" s="9">
        <f>20.29+106.77+32.03</f>
        <v>159.09</v>
      </c>
      <c r="R36" s="9"/>
      <c r="S36" s="19">
        <f t="shared" si="2"/>
        <v>579.30000000000007</v>
      </c>
      <c r="T36" s="25">
        <f t="shared" si="3"/>
        <v>3173.79</v>
      </c>
    </row>
    <row r="37" spans="1:20" x14ac:dyDescent="0.25">
      <c r="A37" s="6" t="s">
        <v>55</v>
      </c>
      <c r="B37" s="7" t="s">
        <v>76</v>
      </c>
      <c r="C37" s="7" t="s">
        <v>97</v>
      </c>
      <c r="D37" s="9">
        <f>7325.93+154.07</f>
        <v>7480</v>
      </c>
      <c r="E37" s="9"/>
      <c r="F37" s="9"/>
      <c r="G37" s="9"/>
      <c r="H37" s="9">
        <v>550</v>
      </c>
      <c r="I37" s="9"/>
      <c r="J37" s="19">
        <f t="shared" si="0"/>
        <v>550</v>
      </c>
      <c r="K37" s="9"/>
      <c r="L37" s="9"/>
      <c r="M37" s="9"/>
      <c r="N37" s="9">
        <f t="shared" si="1"/>
        <v>8030</v>
      </c>
      <c r="O37" s="9">
        <v>1029.47</v>
      </c>
      <c r="P37" s="9">
        <v>570.88</v>
      </c>
      <c r="Q37" s="9">
        <v>4.2699999999999996</v>
      </c>
      <c r="R37" s="9"/>
      <c r="S37" s="19">
        <f t="shared" si="2"/>
        <v>1604.62</v>
      </c>
      <c r="T37" s="25">
        <f t="shared" si="3"/>
        <v>6425.38</v>
      </c>
    </row>
    <row r="38" spans="1:20" x14ac:dyDescent="0.25">
      <c r="A38" s="6" t="s">
        <v>57</v>
      </c>
      <c r="B38" s="7" t="s">
        <v>76</v>
      </c>
      <c r="C38" s="7" t="s">
        <v>96</v>
      </c>
      <c r="D38" s="9">
        <f>7325.93+154.07</f>
        <v>7480</v>
      </c>
      <c r="E38" s="9"/>
      <c r="F38" s="9"/>
      <c r="G38" s="9"/>
      <c r="H38" s="9">
        <v>550</v>
      </c>
      <c r="I38" s="9"/>
      <c r="J38" s="19">
        <f t="shared" si="0"/>
        <v>550</v>
      </c>
      <c r="K38" s="9"/>
      <c r="L38" s="9"/>
      <c r="M38" s="9"/>
      <c r="N38" s="9">
        <f t="shared" si="1"/>
        <v>8030</v>
      </c>
      <c r="O38" s="9">
        <v>1020.91</v>
      </c>
      <c r="P38" s="9">
        <v>570.88</v>
      </c>
      <c r="Q38" s="9">
        <v>35.409999999999997</v>
      </c>
      <c r="R38" s="9"/>
      <c r="S38" s="19">
        <f t="shared" si="2"/>
        <v>1627.2</v>
      </c>
      <c r="T38" s="25">
        <f t="shared" si="3"/>
        <v>6402.8</v>
      </c>
    </row>
    <row r="39" spans="1:20" x14ac:dyDescent="0.25">
      <c r="A39" s="6" t="s">
        <v>58</v>
      </c>
      <c r="B39" s="7" t="s">
        <v>68</v>
      </c>
      <c r="C39" s="7" t="s">
        <v>92</v>
      </c>
      <c r="D39" s="9">
        <v>2135.39</v>
      </c>
      <c r="E39" s="9">
        <v>1067.7</v>
      </c>
      <c r="F39" s="9">
        <v>1423.6</v>
      </c>
      <c r="G39" s="9"/>
      <c r="H39" s="9">
        <v>350</v>
      </c>
      <c r="I39" s="9">
        <v>182</v>
      </c>
      <c r="J39" s="19">
        <f t="shared" si="0"/>
        <v>532</v>
      </c>
      <c r="K39" s="9">
        <v>355.9</v>
      </c>
      <c r="L39" s="9"/>
      <c r="M39" s="9"/>
      <c r="N39" s="9">
        <f t="shared" si="1"/>
        <v>5514.59</v>
      </c>
      <c r="O39" s="9"/>
      <c r="P39" s="9">
        <f>277.1+113.89</f>
        <v>390.99</v>
      </c>
      <c r="Q39" s="9">
        <f>4.54+106.77+21.35</f>
        <v>132.66</v>
      </c>
      <c r="R39" s="9">
        <v>89.69</v>
      </c>
      <c r="S39" s="19">
        <f t="shared" si="2"/>
        <v>613.33999999999992</v>
      </c>
      <c r="T39" s="25">
        <f t="shared" si="3"/>
        <v>4901.25</v>
      </c>
    </row>
    <row r="40" spans="1:20" x14ac:dyDescent="0.25">
      <c r="A40" s="6" t="s">
        <v>59</v>
      </c>
      <c r="B40" s="7" t="s">
        <v>76</v>
      </c>
      <c r="C40" s="7" t="s">
        <v>96</v>
      </c>
      <c r="D40" s="9">
        <f>7325.93+154.07</f>
        <v>7480</v>
      </c>
      <c r="E40" s="9"/>
      <c r="F40" s="9"/>
      <c r="G40" s="9"/>
      <c r="H40" s="9">
        <v>550</v>
      </c>
      <c r="I40" s="9">
        <v>162.80000000000001</v>
      </c>
      <c r="J40" s="19">
        <f t="shared" si="0"/>
        <v>712.8</v>
      </c>
      <c r="K40" s="9"/>
      <c r="L40" s="9"/>
      <c r="M40" s="9"/>
      <c r="N40" s="9">
        <f t="shared" si="1"/>
        <v>8192.7999999999993</v>
      </c>
      <c r="O40" s="9">
        <v>1030.6500000000001</v>
      </c>
      <c r="P40" s="9">
        <v>570.88</v>
      </c>
      <c r="Q40" s="9"/>
      <c r="R40" s="9">
        <v>162.80000000000001</v>
      </c>
      <c r="S40" s="19">
        <f t="shared" si="2"/>
        <v>1764.3300000000002</v>
      </c>
      <c r="T40" s="25">
        <f t="shared" si="3"/>
        <v>6428.4699999999993</v>
      </c>
    </row>
    <row r="41" spans="1:20" x14ac:dyDescent="0.25">
      <c r="A41" s="6" t="s">
        <v>60</v>
      </c>
      <c r="B41" s="7" t="s">
        <v>87</v>
      </c>
      <c r="C41" s="7" t="s">
        <v>94</v>
      </c>
      <c r="D41" s="9">
        <v>3091.83</v>
      </c>
      <c r="E41" s="9">
        <v>3091.83</v>
      </c>
      <c r="F41" s="9"/>
      <c r="G41" s="9"/>
      <c r="H41" s="9">
        <v>275</v>
      </c>
      <c r="I41" s="9">
        <v>83.6</v>
      </c>
      <c r="J41" s="19">
        <f t="shared" si="0"/>
        <v>358.6</v>
      </c>
      <c r="K41" s="9">
        <v>1030.6099999999999</v>
      </c>
      <c r="L41" s="9"/>
      <c r="M41" s="9"/>
      <c r="N41" s="9">
        <f t="shared" si="1"/>
        <v>7572.87</v>
      </c>
      <c r="O41" s="9">
        <f>90.51+195.55</f>
        <v>286.06</v>
      </c>
      <c r="P41" s="9">
        <f>117.41+453.47</f>
        <v>570.88</v>
      </c>
      <c r="Q41" s="9">
        <f>5.67</f>
        <v>5.67</v>
      </c>
      <c r="R41" s="9">
        <v>83.6</v>
      </c>
      <c r="S41" s="19">
        <f t="shared" si="2"/>
        <v>946.21</v>
      </c>
      <c r="T41" s="25">
        <f t="shared" si="3"/>
        <v>6626.66</v>
      </c>
    </row>
    <row r="42" spans="1:20" x14ac:dyDescent="0.25">
      <c r="A42" s="6" t="s">
        <v>61</v>
      </c>
      <c r="B42" s="7" t="s">
        <v>88</v>
      </c>
      <c r="C42" s="7" t="s">
        <v>93</v>
      </c>
      <c r="D42" s="9">
        <v>8554.7000000000007</v>
      </c>
      <c r="E42" s="9"/>
      <c r="F42" s="9"/>
      <c r="G42" s="9">
        <f>384.96+64.16</f>
        <v>449.12</v>
      </c>
      <c r="H42" s="9">
        <v>550</v>
      </c>
      <c r="I42" s="9">
        <v>162.80000000000001</v>
      </c>
      <c r="J42" s="19">
        <f t="shared" si="0"/>
        <v>712.8</v>
      </c>
      <c r="K42" s="9"/>
      <c r="L42" s="9"/>
      <c r="M42" s="9"/>
      <c r="N42" s="9">
        <f t="shared" si="1"/>
        <v>9716.6200000000008</v>
      </c>
      <c r="O42" s="9">
        <v>1449.7</v>
      </c>
      <c r="P42" s="9">
        <v>570.88</v>
      </c>
      <c r="Q42" s="9"/>
      <c r="R42" s="9">
        <v>162.80000000000001</v>
      </c>
      <c r="S42" s="19">
        <f t="shared" si="2"/>
        <v>2183.38</v>
      </c>
      <c r="T42" s="25">
        <f t="shared" si="3"/>
        <v>7533.2400000000007</v>
      </c>
    </row>
    <row r="43" spans="1:20" x14ac:dyDescent="0.25">
      <c r="A43" s="7" t="s">
        <v>62</v>
      </c>
      <c r="B43" s="7" t="s">
        <v>83</v>
      </c>
      <c r="C43" s="7" t="s">
        <v>94</v>
      </c>
      <c r="D43" s="9">
        <v>3203.09</v>
      </c>
      <c r="E43" s="9"/>
      <c r="F43" s="9"/>
      <c r="G43" s="9"/>
      <c r="H43" s="9">
        <v>550</v>
      </c>
      <c r="I43" s="9">
        <v>440</v>
      </c>
      <c r="J43" s="19">
        <f t="shared" si="0"/>
        <v>990</v>
      </c>
      <c r="K43" s="9"/>
      <c r="L43" s="9"/>
      <c r="M43" s="9"/>
      <c r="N43" s="9">
        <f t="shared" si="1"/>
        <v>4193.09</v>
      </c>
      <c r="O43" s="9">
        <v>72.81</v>
      </c>
      <c r="P43" s="9">
        <v>352.34</v>
      </c>
      <c r="Q43" s="9">
        <f>32.03+106.77+32.03</f>
        <v>170.83</v>
      </c>
      <c r="R43" s="9">
        <v>140.94</v>
      </c>
      <c r="S43" s="19">
        <f t="shared" si="2"/>
        <v>736.92000000000007</v>
      </c>
      <c r="T43" s="25">
        <f t="shared" si="3"/>
        <v>3456.17</v>
      </c>
    </row>
    <row r="44" spans="1:20" x14ac:dyDescent="0.25">
      <c r="A44" s="7" t="s">
        <v>63</v>
      </c>
      <c r="B44" s="7" t="s">
        <v>89</v>
      </c>
      <c r="C44" s="7" t="s">
        <v>98</v>
      </c>
      <c r="D44" s="9">
        <v>6183.65</v>
      </c>
      <c r="E44" s="9"/>
      <c r="F44" s="9"/>
      <c r="G44" s="9"/>
      <c r="H44" s="9">
        <v>550</v>
      </c>
      <c r="I44" s="9">
        <v>162.80000000000001</v>
      </c>
      <c r="J44" s="19">
        <f t="shared" si="0"/>
        <v>712.8</v>
      </c>
      <c r="K44" s="9"/>
      <c r="L44" s="9"/>
      <c r="M44" s="9"/>
      <c r="N44" s="9">
        <f t="shared" si="1"/>
        <v>6896.45</v>
      </c>
      <c r="O44" s="9">
        <v>674.15</v>
      </c>
      <c r="P44" s="9">
        <v>570.88</v>
      </c>
      <c r="Q44" s="9"/>
      <c r="R44" s="9">
        <v>162.80000000000001</v>
      </c>
      <c r="S44" s="19">
        <f t="shared" si="2"/>
        <v>1407.83</v>
      </c>
      <c r="T44" s="25">
        <f t="shared" si="3"/>
        <v>5488.62</v>
      </c>
    </row>
    <row r="45" spans="1:20" x14ac:dyDescent="0.25">
      <c r="A45" s="6" t="s">
        <v>64</v>
      </c>
      <c r="B45" s="7" t="s">
        <v>68</v>
      </c>
      <c r="C45" s="7" t="s">
        <v>96</v>
      </c>
      <c r="D45" s="9">
        <v>3203.09</v>
      </c>
      <c r="E45" s="9"/>
      <c r="F45" s="9"/>
      <c r="G45" s="9"/>
      <c r="H45" s="9">
        <v>550</v>
      </c>
      <c r="I45" s="9">
        <v>180.4</v>
      </c>
      <c r="J45" s="19">
        <f t="shared" si="0"/>
        <v>730.4</v>
      </c>
      <c r="K45" s="9"/>
      <c r="L45" s="9"/>
      <c r="M45" s="9"/>
      <c r="N45" s="9">
        <f t="shared" si="1"/>
        <v>3933.4900000000002</v>
      </c>
      <c r="O45" s="9">
        <v>72.81</v>
      </c>
      <c r="P45" s="9">
        <v>352.34</v>
      </c>
      <c r="Q45" s="9">
        <v>106.77</v>
      </c>
      <c r="R45" s="9">
        <v>140.94</v>
      </c>
      <c r="S45" s="19">
        <f t="shared" si="2"/>
        <v>672.8599999999999</v>
      </c>
      <c r="T45" s="25">
        <f t="shared" si="3"/>
        <v>3260.63</v>
      </c>
    </row>
    <row r="46" spans="1:20" x14ac:dyDescent="0.25">
      <c r="A46" s="7" t="s">
        <v>65</v>
      </c>
      <c r="B46" s="7" t="s">
        <v>90</v>
      </c>
      <c r="C46" s="7" t="s">
        <v>100</v>
      </c>
      <c r="D46" s="9">
        <v>6183.65</v>
      </c>
      <c r="E46" s="9"/>
      <c r="F46" s="9"/>
      <c r="G46" s="9"/>
      <c r="H46" s="9">
        <v>550</v>
      </c>
      <c r="I46" s="9"/>
      <c r="J46" s="19">
        <f t="shared" si="0"/>
        <v>550</v>
      </c>
      <c r="K46" s="9"/>
      <c r="L46" s="9"/>
      <c r="M46" s="9"/>
      <c r="N46" s="9">
        <f t="shared" si="1"/>
        <v>6733.65</v>
      </c>
      <c r="O46" s="9">
        <v>673.3</v>
      </c>
      <c r="P46" s="9">
        <v>570.88</v>
      </c>
      <c r="Q46" s="9">
        <v>3.09</v>
      </c>
      <c r="R46" s="9"/>
      <c r="S46" s="19">
        <f t="shared" si="2"/>
        <v>1247.2699999999998</v>
      </c>
      <c r="T46" s="25">
        <f t="shared" si="3"/>
        <v>5486.38</v>
      </c>
    </row>
    <row r="47" spans="1:20" hidden="1" x14ac:dyDescent="0.25">
      <c r="H47" s="1">
        <f>SUM(H5:H46)</f>
        <v>20850</v>
      </c>
      <c r="I47" s="1">
        <f>SUM(I5:I46)</f>
        <v>6414.7600000000011</v>
      </c>
      <c r="J47" s="1"/>
      <c r="N47" s="3"/>
      <c r="T47" s="1">
        <f>SUM(T5:T46)</f>
        <v>223575.90000000005</v>
      </c>
    </row>
    <row r="48" spans="1:20" x14ac:dyDescent="0.25">
      <c r="J48" s="1"/>
      <c r="N48" s="3"/>
      <c r="T48" s="1"/>
    </row>
    <row r="49" spans="1:15" ht="19.5" x14ac:dyDescent="0.3">
      <c r="A49" s="21" t="s">
        <v>108</v>
      </c>
      <c r="J49" s="1"/>
      <c r="N49" s="3"/>
    </row>
    <row r="50" spans="1:15" ht="18.75" customHeight="1" x14ac:dyDescent="0.25">
      <c r="A50" s="32" t="s">
        <v>0</v>
      </c>
      <c r="B50" s="32" t="s">
        <v>1</v>
      </c>
      <c r="C50" s="32" t="s">
        <v>2</v>
      </c>
      <c r="D50" s="32" t="s">
        <v>111</v>
      </c>
      <c r="E50" s="32" t="s">
        <v>110</v>
      </c>
      <c r="F50" s="32" t="s">
        <v>11</v>
      </c>
      <c r="G50" s="32" t="s">
        <v>12</v>
      </c>
      <c r="H50" s="32"/>
      <c r="I50" s="32"/>
      <c r="J50" s="32" t="s">
        <v>109</v>
      </c>
      <c r="O50" s="3"/>
    </row>
    <row r="51" spans="1:15" x14ac:dyDescent="0.25">
      <c r="A51" s="6" t="s">
        <v>60</v>
      </c>
      <c r="B51" s="7" t="s">
        <v>87</v>
      </c>
      <c r="C51" s="7" t="s">
        <v>94</v>
      </c>
      <c r="D51" s="9">
        <v>3104.68</v>
      </c>
      <c r="E51" s="9"/>
      <c r="F51" s="9"/>
      <c r="G51" s="9"/>
      <c r="J51" s="9"/>
      <c r="N51" s="3"/>
    </row>
    <row r="52" spans="1:15" x14ac:dyDescent="0.25">
      <c r="N52" s="3"/>
    </row>
    <row r="53" spans="1:15" x14ac:dyDescent="0.25">
      <c r="N53" s="3"/>
    </row>
    <row r="54" spans="1:15" x14ac:dyDescent="0.25">
      <c r="N54" s="3"/>
    </row>
    <row r="55" spans="1:15" x14ac:dyDescent="0.25">
      <c r="N55" s="3"/>
    </row>
    <row r="56" spans="1:15" x14ac:dyDescent="0.25">
      <c r="N56" s="3"/>
    </row>
    <row r="57" spans="1:15" x14ac:dyDescent="0.25">
      <c r="N57" s="3"/>
    </row>
    <row r="58" spans="1:15" x14ac:dyDescent="0.25">
      <c r="N58" s="3"/>
    </row>
    <row r="59" spans="1:15" x14ac:dyDescent="0.25">
      <c r="N59" s="3"/>
    </row>
    <row r="60" spans="1:15" ht="15.75" x14ac:dyDescent="0.25">
      <c r="A60" s="35"/>
      <c r="B60" s="35"/>
      <c r="C60" s="35"/>
      <c r="D60" s="35"/>
      <c r="E60" s="35"/>
      <c r="F60" s="35"/>
      <c r="G60" s="35"/>
      <c r="J60" s="35"/>
      <c r="N60" s="3"/>
    </row>
    <row r="61" spans="1:15" x14ac:dyDescent="0.25">
      <c r="N61" s="3"/>
    </row>
    <row r="62" spans="1:15" x14ac:dyDescent="0.25">
      <c r="N62" s="3"/>
    </row>
    <row r="63" spans="1:15" x14ac:dyDescent="0.25">
      <c r="N63" s="3"/>
    </row>
    <row r="64" spans="1:15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x14ac:dyDescent="0.25">
      <c r="N83" s="3"/>
    </row>
    <row r="84" spans="14:14" x14ac:dyDescent="0.25">
      <c r="N84" s="3"/>
    </row>
    <row r="85" spans="14:14" x14ac:dyDescent="0.25">
      <c r="N85" s="3"/>
    </row>
    <row r="86" spans="14:14" x14ac:dyDescent="0.25">
      <c r="N86" s="3"/>
    </row>
    <row r="87" spans="14:14" x14ac:dyDescent="0.25">
      <c r="N87" s="3"/>
    </row>
    <row r="88" spans="14:14" x14ac:dyDescent="0.25">
      <c r="N88" s="3"/>
    </row>
    <row r="89" spans="14:14" x14ac:dyDescent="0.25">
      <c r="N89" s="3"/>
    </row>
    <row r="90" spans="14:14" x14ac:dyDescent="0.25">
      <c r="N90" s="3"/>
    </row>
    <row r="91" spans="14:14" x14ac:dyDescent="0.25">
      <c r="N91" s="3"/>
    </row>
    <row r="92" spans="14:14" x14ac:dyDescent="0.25">
      <c r="N92" s="3"/>
    </row>
    <row r="93" spans="14:14" x14ac:dyDescent="0.25">
      <c r="N93" s="3"/>
    </row>
    <row r="94" spans="14:14" x14ac:dyDescent="0.25">
      <c r="N94" s="3"/>
    </row>
    <row r="95" spans="14:14" x14ac:dyDescent="0.25">
      <c r="N95" s="3"/>
    </row>
    <row r="96" spans="14:14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</sheetData>
  <autoFilter ref="A4:T51"/>
  <sortState ref="A3:T53">
    <sortCondition ref="A3:A53"/>
  </sortState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26"/>
  <sheetViews>
    <sheetView showGridLines="0" zoomScaleNormal="100" workbookViewId="0">
      <selection activeCell="A26" sqref="A26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5" width="19.5703125" style="2" customWidth="1"/>
    <col min="6" max="6" width="19.140625" style="2" customWidth="1"/>
    <col min="7" max="7" width="12.28515625" style="2" customWidth="1"/>
    <col min="8" max="9" width="22" style="2" hidden="1" customWidth="1"/>
    <col min="10" max="10" width="22" style="2" customWidth="1"/>
    <col min="11" max="11" width="19.7109375" style="2" customWidth="1"/>
    <col min="12" max="12" width="22.42578125" style="2" customWidth="1"/>
    <col min="13" max="13" width="14" style="2" bestFit="1" customWidth="1"/>
    <col min="14" max="14" width="20.28515625" style="2" customWidth="1"/>
    <col min="15" max="15" width="13" style="2" bestFit="1" customWidth="1"/>
    <col min="16" max="16" width="12.140625" style="2" bestFit="1" customWidth="1"/>
    <col min="17" max="17" width="18.85546875" style="2" bestFit="1" customWidth="1"/>
    <col min="18" max="18" width="11.42578125" style="2" bestFit="1" customWidth="1"/>
    <col min="19" max="19" width="17.5703125" style="2" bestFit="1" customWidth="1"/>
    <col min="20" max="20" width="14.85546875" style="2" bestFit="1" customWidth="1"/>
    <col min="21" max="16384" width="9.140625" style="2"/>
  </cols>
  <sheetData>
    <row r="1" spans="1:20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.75" x14ac:dyDescent="0.3">
      <c r="A2" s="4" t="s">
        <v>121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29" t="s">
        <v>107</v>
      </c>
      <c r="I4" s="29" t="s">
        <v>103</v>
      </c>
      <c r="J4" s="32" t="s">
        <v>6</v>
      </c>
      <c r="K4" s="32" t="s">
        <v>8</v>
      </c>
      <c r="L4" s="32" t="s">
        <v>7</v>
      </c>
      <c r="M4" s="32" t="s">
        <v>9</v>
      </c>
      <c r="N4" s="32" t="s">
        <v>10</v>
      </c>
      <c r="O4" s="32" t="s">
        <v>11</v>
      </c>
      <c r="P4" s="32" t="s">
        <v>12</v>
      </c>
      <c r="Q4" s="32" t="s">
        <v>13</v>
      </c>
      <c r="R4" s="32" t="s">
        <v>103</v>
      </c>
      <c r="S4" s="32" t="s">
        <v>14</v>
      </c>
      <c r="T4" s="32" t="s">
        <v>15</v>
      </c>
    </row>
    <row r="5" spans="1:20" x14ac:dyDescent="0.25">
      <c r="A5" s="6" t="s">
        <v>17</v>
      </c>
      <c r="B5" s="7" t="s">
        <v>68</v>
      </c>
      <c r="C5" s="7" t="s">
        <v>92</v>
      </c>
      <c r="D5" s="9">
        <v>3203.09</v>
      </c>
      <c r="E5" s="9"/>
      <c r="F5" s="9"/>
      <c r="G5" s="9"/>
      <c r="H5" s="9">
        <v>500</v>
      </c>
      <c r="I5" s="9">
        <v>400</v>
      </c>
      <c r="J5" s="9">
        <f>H5+I5</f>
        <v>900</v>
      </c>
      <c r="K5" s="9"/>
      <c r="L5" s="9"/>
      <c r="M5" s="9"/>
      <c r="N5" s="9">
        <f>D5+E5+F5+G5+J5+K5+L5+M5</f>
        <v>4103.09</v>
      </c>
      <c r="O5" s="9">
        <v>69.17</v>
      </c>
      <c r="P5" s="9">
        <v>349.32</v>
      </c>
      <c r="Q5" s="9">
        <f>27.49+32.03</f>
        <v>59.519999999999996</v>
      </c>
      <c r="R5" s="9">
        <v>128.12</v>
      </c>
      <c r="S5" s="9">
        <f>O5+P5+Q5+R5</f>
        <v>606.13</v>
      </c>
      <c r="T5" s="9">
        <f>N5-S5</f>
        <v>3496.96</v>
      </c>
    </row>
    <row r="6" spans="1:20" x14ac:dyDescent="0.25">
      <c r="A6" s="6" t="s">
        <v>18</v>
      </c>
      <c r="B6" s="7" t="s">
        <v>69</v>
      </c>
      <c r="C6" s="7" t="s">
        <v>93</v>
      </c>
      <c r="D6" s="9">
        <v>3203.09</v>
      </c>
      <c r="E6" s="9"/>
      <c r="F6" s="9"/>
      <c r="G6" s="9">
        <f>39.24+6.54</f>
        <v>45.78</v>
      </c>
      <c r="H6" s="9">
        <v>500</v>
      </c>
      <c r="I6" s="9"/>
      <c r="J6" s="9">
        <f t="shared" ref="J6:J58" si="0">H6+I6</f>
        <v>500</v>
      </c>
      <c r="K6" s="9"/>
      <c r="L6" s="9"/>
      <c r="M6" s="9"/>
      <c r="N6" s="9">
        <f t="shared" ref="N6:N58" si="1">D6+E6+F6+G6+J6+K6+L6+M6</f>
        <v>3748.8700000000003</v>
      </c>
      <c r="O6" s="9">
        <v>45.62</v>
      </c>
      <c r="P6" s="9">
        <v>357.38</v>
      </c>
      <c r="Q6" s="9"/>
      <c r="R6" s="9"/>
      <c r="S6" s="9">
        <f t="shared" ref="S6:S58" si="2">O6+P6+Q6+R6</f>
        <v>403</v>
      </c>
      <c r="T6" s="9">
        <f t="shared" ref="T6:T58" si="3">N6-S6</f>
        <v>3345.8700000000003</v>
      </c>
    </row>
    <row r="7" spans="1:20" x14ac:dyDescent="0.25">
      <c r="A7" s="10" t="s">
        <v>19</v>
      </c>
      <c r="B7" s="11" t="s">
        <v>70</v>
      </c>
      <c r="C7" s="11" t="s">
        <v>94</v>
      </c>
      <c r="D7" s="9">
        <v>11235</v>
      </c>
      <c r="E7" s="9"/>
      <c r="F7" s="9"/>
      <c r="G7" s="9"/>
      <c r="H7" s="9">
        <v>500</v>
      </c>
      <c r="I7" s="9"/>
      <c r="J7" s="9">
        <f t="shared" si="0"/>
        <v>500</v>
      </c>
      <c r="K7" s="9"/>
      <c r="L7" s="9"/>
      <c r="M7" s="9"/>
      <c r="N7" s="9">
        <f t="shared" si="1"/>
        <v>11735</v>
      </c>
      <c r="O7" s="9">
        <v>2011.14</v>
      </c>
      <c r="P7" s="9">
        <v>570.88</v>
      </c>
      <c r="Q7" s="9"/>
      <c r="R7" s="9"/>
      <c r="S7" s="9">
        <f t="shared" si="2"/>
        <v>2582.02</v>
      </c>
      <c r="T7" s="9">
        <f t="shared" si="3"/>
        <v>9152.98</v>
      </c>
    </row>
    <row r="8" spans="1:20" x14ac:dyDescent="0.25">
      <c r="A8" s="10" t="s">
        <v>20</v>
      </c>
      <c r="B8" s="11" t="s">
        <v>71</v>
      </c>
      <c r="C8" s="11" t="s">
        <v>95</v>
      </c>
      <c r="D8" s="9">
        <v>4688.79</v>
      </c>
      <c r="E8" s="9"/>
      <c r="F8" s="9"/>
      <c r="G8" s="9"/>
      <c r="H8" s="9">
        <v>500</v>
      </c>
      <c r="I8" s="9">
        <v>152</v>
      </c>
      <c r="J8" s="9">
        <f t="shared" si="0"/>
        <v>652</v>
      </c>
      <c r="K8" s="9"/>
      <c r="L8" s="9"/>
      <c r="M8" s="9"/>
      <c r="N8" s="9">
        <f t="shared" si="1"/>
        <v>5340.79</v>
      </c>
      <c r="O8" s="9">
        <v>217.48</v>
      </c>
      <c r="P8" s="9">
        <v>515.77</v>
      </c>
      <c r="Q8" s="9"/>
      <c r="R8" s="9">
        <v>152</v>
      </c>
      <c r="S8" s="9">
        <f t="shared" si="2"/>
        <v>885.25</v>
      </c>
      <c r="T8" s="9">
        <f t="shared" si="3"/>
        <v>4455.54</v>
      </c>
    </row>
    <row r="9" spans="1:20" hidden="1" x14ac:dyDescent="0.25">
      <c r="A9" s="6" t="s">
        <v>21</v>
      </c>
      <c r="B9" s="7" t="s">
        <v>72</v>
      </c>
      <c r="C9" s="7" t="s">
        <v>96</v>
      </c>
      <c r="D9" s="9">
        <v>1191.76</v>
      </c>
      <c r="E9" s="9"/>
      <c r="F9" s="9"/>
      <c r="G9" s="9"/>
      <c r="H9" s="9">
        <v>500</v>
      </c>
      <c r="I9" s="9">
        <v>260</v>
      </c>
      <c r="J9" s="9">
        <f t="shared" si="0"/>
        <v>760</v>
      </c>
      <c r="K9" s="9"/>
      <c r="L9" s="9"/>
      <c r="M9" s="9"/>
      <c r="N9" s="9">
        <f t="shared" si="1"/>
        <v>1951.76</v>
      </c>
      <c r="O9" s="9"/>
      <c r="P9" s="9"/>
      <c r="Q9" s="9"/>
      <c r="R9" s="9"/>
      <c r="S9" s="9"/>
      <c r="T9" s="9">
        <f t="shared" si="3"/>
        <v>1951.76</v>
      </c>
    </row>
    <row r="10" spans="1:20" x14ac:dyDescent="0.25">
      <c r="A10" s="7" t="s">
        <v>22</v>
      </c>
      <c r="B10" s="7" t="s">
        <v>68</v>
      </c>
      <c r="C10" s="7" t="s">
        <v>92</v>
      </c>
      <c r="D10" s="9">
        <v>3203.09</v>
      </c>
      <c r="E10" s="9"/>
      <c r="F10" s="9"/>
      <c r="G10" s="9"/>
      <c r="H10" s="9">
        <v>500</v>
      </c>
      <c r="I10" s="9">
        <v>260</v>
      </c>
      <c r="J10" s="9">
        <f t="shared" si="0"/>
        <v>760</v>
      </c>
      <c r="K10" s="9"/>
      <c r="L10" s="9"/>
      <c r="M10" s="9"/>
      <c r="N10" s="9">
        <f t="shared" si="1"/>
        <v>3963.09</v>
      </c>
      <c r="O10" s="9">
        <v>55.18</v>
      </c>
      <c r="P10" s="9">
        <v>349.7</v>
      </c>
      <c r="Q10" s="9">
        <f>24.02+32.03</f>
        <v>56.05</v>
      </c>
      <c r="R10" s="9">
        <v>128.12</v>
      </c>
      <c r="S10" s="9">
        <f t="shared" si="2"/>
        <v>589.04999999999995</v>
      </c>
      <c r="T10" s="9">
        <f t="shared" si="3"/>
        <v>3374.04</v>
      </c>
    </row>
    <row r="11" spans="1:20" x14ac:dyDescent="0.25">
      <c r="A11" s="6" t="s">
        <v>23</v>
      </c>
      <c r="B11" s="7" t="s">
        <v>68</v>
      </c>
      <c r="C11" s="7" t="s">
        <v>96</v>
      </c>
      <c r="D11" s="9">
        <v>3203.09</v>
      </c>
      <c r="E11" s="9"/>
      <c r="F11" s="9"/>
      <c r="G11" s="9"/>
      <c r="H11" s="9">
        <v>500</v>
      </c>
      <c r="I11" s="9">
        <v>152</v>
      </c>
      <c r="J11" s="9">
        <f t="shared" si="0"/>
        <v>652</v>
      </c>
      <c r="K11" s="9"/>
      <c r="L11" s="9"/>
      <c r="M11" s="9"/>
      <c r="N11" s="9">
        <f t="shared" si="1"/>
        <v>3855.09</v>
      </c>
      <c r="O11" s="9">
        <v>68.87</v>
      </c>
      <c r="P11" s="9">
        <v>348.82</v>
      </c>
      <c r="Q11" s="9">
        <f>32.03+32.03</f>
        <v>64.06</v>
      </c>
      <c r="R11" s="9">
        <v>128.12</v>
      </c>
      <c r="S11" s="9">
        <f t="shared" si="2"/>
        <v>609.87</v>
      </c>
      <c r="T11" s="9">
        <f t="shared" si="3"/>
        <v>3245.2200000000003</v>
      </c>
    </row>
    <row r="12" spans="1:20" hidden="1" x14ac:dyDescent="0.25">
      <c r="A12" s="6" t="s">
        <v>24</v>
      </c>
      <c r="B12" s="7" t="s">
        <v>72</v>
      </c>
      <c r="C12" s="7" t="s">
        <v>97</v>
      </c>
      <c r="D12" s="9">
        <v>1191.76</v>
      </c>
      <c r="E12" s="9"/>
      <c r="F12" s="9"/>
      <c r="G12" s="9"/>
      <c r="H12" s="9">
        <v>500</v>
      </c>
      <c r="I12" s="9">
        <v>316</v>
      </c>
      <c r="J12" s="9">
        <f t="shared" si="0"/>
        <v>816</v>
      </c>
      <c r="K12" s="9"/>
      <c r="L12" s="9"/>
      <c r="M12" s="9"/>
      <c r="N12" s="9">
        <f t="shared" si="1"/>
        <v>2007.76</v>
      </c>
      <c r="O12" s="9"/>
      <c r="P12" s="9"/>
      <c r="Q12" s="9"/>
      <c r="R12" s="9"/>
      <c r="S12" s="9"/>
      <c r="T12" s="9">
        <f t="shared" si="3"/>
        <v>2007.76</v>
      </c>
    </row>
    <row r="13" spans="1:20" x14ac:dyDescent="0.25">
      <c r="A13" s="7" t="s">
        <v>25</v>
      </c>
      <c r="B13" s="7" t="s">
        <v>73</v>
      </c>
      <c r="C13" s="7" t="s">
        <v>98</v>
      </c>
      <c r="D13" s="9">
        <v>1710.94</v>
      </c>
      <c r="E13" s="12">
        <v>6843.76</v>
      </c>
      <c r="F13" s="9"/>
      <c r="G13" s="9"/>
      <c r="H13" s="9">
        <v>75</v>
      </c>
      <c r="I13" s="9"/>
      <c r="J13" s="9">
        <f t="shared" si="0"/>
        <v>75</v>
      </c>
      <c r="K13" s="12">
        <v>2281.25</v>
      </c>
      <c r="L13" s="9"/>
      <c r="M13" s="9"/>
      <c r="N13" s="9">
        <f t="shared" si="1"/>
        <v>10910.95</v>
      </c>
      <c r="O13" s="9">
        <v>1867.8</v>
      </c>
      <c r="P13" s="9">
        <v>570.88</v>
      </c>
      <c r="Q13" s="9"/>
      <c r="R13" s="9"/>
      <c r="S13" s="9">
        <f t="shared" si="2"/>
        <v>2438.6799999999998</v>
      </c>
      <c r="T13" s="9">
        <f t="shared" si="3"/>
        <v>8472.27</v>
      </c>
    </row>
    <row r="14" spans="1:20" x14ac:dyDescent="0.25">
      <c r="A14" s="7" t="s">
        <v>26</v>
      </c>
      <c r="B14" s="7" t="s">
        <v>68</v>
      </c>
      <c r="C14" s="7" t="s">
        <v>96</v>
      </c>
      <c r="D14" s="9">
        <v>3203.09</v>
      </c>
      <c r="E14" s="9"/>
      <c r="F14" s="9"/>
      <c r="G14" s="9">
        <f>10.01+1.67</f>
        <v>11.68</v>
      </c>
      <c r="H14" s="9">
        <v>500</v>
      </c>
      <c r="I14" s="9">
        <v>316</v>
      </c>
      <c r="J14" s="9">
        <f t="shared" si="0"/>
        <v>816</v>
      </c>
      <c r="K14" s="9"/>
      <c r="L14" s="9"/>
      <c r="M14" s="9"/>
      <c r="N14" s="9">
        <f t="shared" si="1"/>
        <v>4030.77</v>
      </c>
      <c r="O14" s="9">
        <v>74.37</v>
      </c>
      <c r="P14" s="9">
        <v>353.62</v>
      </c>
      <c r="Q14" s="9"/>
      <c r="R14" s="9">
        <v>128.12</v>
      </c>
      <c r="S14" s="9">
        <f t="shared" si="2"/>
        <v>556.11</v>
      </c>
      <c r="T14" s="9">
        <f t="shared" si="3"/>
        <v>3474.66</v>
      </c>
    </row>
    <row r="15" spans="1:20" x14ac:dyDescent="0.25">
      <c r="A15" s="13" t="s">
        <v>27</v>
      </c>
      <c r="B15" s="14" t="s">
        <v>74</v>
      </c>
      <c r="C15" s="14" t="s">
        <v>99</v>
      </c>
      <c r="D15" s="9">
        <v>8554.7000000000007</v>
      </c>
      <c r="E15" s="9"/>
      <c r="F15" s="9"/>
      <c r="G15" s="9"/>
      <c r="H15" s="9">
        <v>375</v>
      </c>
      <c r="I15" s="9">
        <v>123</v>
      </c>
      <c r="J15" s="9">
        <f t="shared" si="0"/>
        <v>498</v>
      </c>
      <c r="K15" s="9"/>
      <c r="L15" s="9"/>
      <c r="M15" s="9"/>
      <c r="N15" s="9">
        <f t="shared" si="1"/>
        <v>9052.7000000000007</v>
      </c>
      <c r="O15" s="9">
        <v>1326.19</v>
      </c>
      <c r="P15" s="9">
        <v>570.88</v>
      </c>
      <c r="Q15" s="9"/>
      <c r="R15" s="9">
        <v>123</v>
      </c>
      <c r="S15" s="9">
        <f t="shared" si="2"/>
        <v>2020.0700000000002</v>
      </c>
      <c r="T15" s="9">
        <f t="shared" si="3"/>
        <v>7032.630000000001</v>
      </c>
    </row>
    <row r="16" spans="1:20" hidden="1" x14ac:dyDescent="0.25">
      <c r="A16" s="7" t="s">
        <v>28</v>
      </c>
      <c r="B16" s="7" t="s">
        <v>72</v>
      </c>
      <c r="C16" s="7" t="s">
        <v>100</v>
      </c>
      <c r="D16" s="9">
        <v>516.42999999999995</v>
      </c>
      <c r="E16" s="9"/>
      <c r="F16" s="9"/>
      <c r="G16" s="9"/>
      <c r="H16" s="9">
        <v>225</v>
      </c>
      <c r="I16" s="19"/>
      <c r="J16" s="9">
        <f t="shared" si="0"/>
        <v>225</v>
      </c>
      <c r="K16" s="9"/>
      <c r="L16" s="9"/>
      <c r="M16" s="9"/>
      <c r="N16" s="9">
        <f t="shared" si="1"/>
        <v>741.43</v>
      </c>
      <c r="O16" s="9"/>
      <c r="P16" s="9"/>
      <c r="Q16" s="9"/>
      <c r="R16" s="9"/>
      <c r="S16" s="9"/>
      <c r="T16" s="9">
        <f t="shared" si="3"/>
        <v>741.43</v>
      </c>
    </row>
    <row r="17" spans="1:20" x14ac:dyDescent="0.25">
      <c r="A17" s="13" t="s">
        <v>117</v>
      </c>
      <c r="B17" s="15" t="s">
        <v>75</v>
      </c>
      <c r="C17" s="15" t="s">
        <v>95</v>
      </c>
      <c r="D17" s="9">
        <v>0</v>
      </c>
      <c r="E17" s="9"/>
      <c r="F17" s="9"/>
      <c r="G17" s="9"/>
      <c r="H17" s="9">
        <v>0</v>
      </c>
      <c r="I17" s="9"/>
      <c r="J17" s="9">
        <f t="shared" si="0"/>
        <v>0</v>
      </c>
      <c r="K17" s="9"/>
      <c r="L17" s="9"/>
      <c r="M17" s="9">
        <v>4940.5200000000004</v>
      </c>
      <c r="N17" s="9">
        <f t="shared" si="1"/>
        <v>4940.5200000000004</v>
      </c>
      <c r="O17" s="9">
        <v>310.55</v>
      </c>
      <c r="P17" s="9">
        <v>543.46</v>
      </c>
      <c r="Q17" s="9"/>
      <c r="R17" s="9"/>
      <c r="S17" s="9">
        <f t="shared" si="2"/>
        <v>854.01</v>
      </c>
      <c r="T17" s="9">
        <f t="shared" si="3"/>
        <v>4086.51</v>
      </c>
    </row>
    <row r="18" spans="1:20" x14ac:dyDescent="0.25">
      <c r="A18" s="6" t="s">
        <v>29</v>
      </c>
      <c r="B18" s="7" t="s">
        <v>68</v>
      </c>
      <c r="C18" s="7" t="s">
        <v>92</v>
      </c>
      <c r="D18" s="9">
        <v>3203.09</v>
      </c>
      <c r="E18" s="9"/>
      <c r="F18" s="9"/>
      <c r="G18" s="9"/>
      <c r="H18" s="9">
        <v>500</v>
      </c>
      <c r="I18" s="9">
        <v>316</v>
      </c>
      <c r="J18" s="9">
        <f t="shared" si="0"/>
        <v>816</v>
      </c>
      <c r="K18" s="9"/>
      <c r="L18" s="9"/>
      <c r="M18" s="9"/>
      <c r="N18" s="9">
        <f t="shared" si="1"/>
        <v>4019.09</v>
      </c>
      <c r="O18" s="9">
        <v>72.81</v>
      </c>
      <c r="P18" s="9">
        <v>352.34</v>
      </c>
      <c r="Q18" s="9">
        <v>32.03</v>
      </c>
      <c r="R18" s="9">
        <v>128.12</v>
      </c>
      <c r="S18" s="9">
        <f t="shared" si="2"/>
        <v>585.29999999999995</v>
      </c>
      <c r="T18" s="9">
        <f t="shared" si="3"/>
        <v>3433.79</v>
      </c>
    </row>
    <row r="19" spans="1:20" x14ac:dyDescent="0.25">
      <c r="A19" s="6" t="s">
        <v>30</v>
      </c>
      <c r="B19" s="7" t="s">
        <v>76</v>
      </c>
      <c r="C19" s="7" t="s">
        <v>97</v>
      </c>
      <c r="D19" s="9">
        <f>7325.93+154.07</f>
        <v>7480</v>
      </c>
      <c r="E19" s="9"/>
      <c r="F19" s="9"/>
      <c r="G19" s="9"/>
      <c r="H19" s="9">
        <v>500</v>
      </c>
      <c r="I19" s="9">
        <v>164</v>
      </c>
      <c r="J19" s="9">
        <f t="shared" si="0"/>
        <v>664</v>
      </c>
      <c r="K19" s="9"/>
      <c r="L19" s="9"/>
      <c r="M19" s="9"/>
      <c r="N19" s="9">
        <f t="shared" si="1"/>
        <v>8144</v>
      </c>
      <c r="O19" s="9">
        <v>1028.1300000000001</v>
      </c>
      <c r="P19" s="9">
        <v>570.88</v>
      </c>
      <c r="Q19" s="9">
        <v>9.16</v>
      </c>
      <c r="R19" s="9">
        <v>164</v>
      </c>
      <c r="S19" s="9">
        <f t="shared" si="2"/>
        <v>1772.1700000000003</v>
      </c>
      <c r="T19" s="9">
        <f t="shared" si="3"/>
        <v>6371.83</v>
      </c>
    </row>
    <row r="20" spans="1:20" x14ac:dyDescent="0.25">
      <c r="A20" s="6" t="s">
        <v>31</v>
      </c>
      <c r="B20" s="7" t="s">
        <v>77</v>
      </c>
      <c r="C20" s="7" t="s">
        <v>96</v>
      </c>
      <c r="D20" s="9">
        <f>7325.93+154.07</f>
        <v>7480</v>
      </c>
      <c r="E20" s="9"/>
      <c r="F20" s="9"/>
      <c r="G20" s="9"/>
      <c r="H20" s="9">
        <v>500</v>
      </c>
      <c r="I20" s="9"/>
      <c r="J20" s="9">
        <f t="shared" si="0"/>
        <v>500</v>
      </c>
      <c r="K20" s="9"/>
      <c r="L20" s="9"/>
      <c r="M20" s="9"/>
      <c r="N20" s="9">
        <f t="shared" si="1"/>
        <v>7980</v>
      </c>
      <c r="O20" s="9">
        <v>1030.6500000000001</v>
      </c>
      <c r="P20" s="9">
        <v>570.88</v>
      </c>
      <c r="Q20" s="9"/>
      <c r="R20" s="9"/>
      <c r="S20" s="9">
        <f t="shared" si="2"/>
        <v>1601.5300000000002</v>
      </c>
      <c r="T20" s="9">
        <f t="shared" si="3"/>
        <v>6378.4699999999993</v>
      </c>
    </row>
    <row r="21" spans="1:20" x14ac:dyDescent="0.25">
      <c r="A21" s="6" t="s">
        <v>32</v>
      </c>
      <c r="B21" s="7" t="s">
        <v>78</v>
      </c>
      <c r="C21" s="7" t="s">
        <v>100</v>
      </c>
      <c r="D21" s="9">
        <v>11235</v>
      </c>
      <c r="E21" s="9"/>
      <c r="F21" s="9"/>
      <c r="G21" s="9"/>
      <c r="H21" s="9">
        <v>500</v>
      </c>
      <c r="I21" s="9"/>
      <c r="J21" s="9">
        <f t="shared" si="0"/>
        <v>500</v>
      </c>
      <c r="K21" s="9"/>
      <c r="L21" s="9"/>
      <c r="M21" s="9"/>
      <c r="N21" s="9">
        <f t="shared" si="1"/>
        <v>11735</v>
      </c>
      <c r="O21" s="9">
        <v>2063.27</v>
      </c>
      <c r="P21" s="9">
        <v>570.88</v>
      </c>
      <c r="Q21" s="9"/>
      <c r="R21" s="9"/>
      <c r="S21" s="9">
        <f t="shared" si="2"/>
        <v>2634.15</v>
      </c>
      <c r="T21" s="9">
        <f t="shared" si="3"/>
        <v>9100.85</v>
      </c>
    </row>
    <row r="22" spans="1:20" hidden="1" x14ac:dyDescent="0.25">
      <c r="A22" s="6" t="s">
        <v>33</v>
      </c>
      <c r="B22" s="7" t="s">
        <v>72</v>
      </c>
      <c r="C22" s="7" t="s">
        <v>100</v>
      </c>
      <c r="D22" s="9">
        <v>1191.76</v>
      </c>
      <c r="E22" s="9"/>
      <c r="F22" s="9"/>
      <c r="G22" s="9"/>
      <c r="H22" s="9">
        <v>500</v>
      </c>
      <c r="I22" s="9">
        <v>164</v>
      </c>
      <c r="J22" s="9">
        <f t="shared" si="0"/>
        <v>664</v>
      </c>
      <c r="K22" s="9"/>
      <c r="L22" s="9"/>
      <c r="M22" s="9"/>
      <c r="N22" s="9">
        <f t="shared" si="1"/>
        <v>1855.76</v>
      </c>
      <c r="O22" s="9"/>
      <c r="P22" s="9"/>
      <c r="Q22" s="9"/>
      <c r="R22" s="9"/>
      <c r="S22" s="9"/>
      <c r="T22" s="9">
        <f t="shared" si="3"/>
        <v>1855.76</v>
      </c>
    </row>
    <row r="23" spans="1:20" x14ac:dyDescent="0.25">
      <c r="A23" s="6" t="s">
        <v>34</v>
      </c>
      <c r="B23" s="16" t="s">
        <v>79</v>
      </c>
      <c r="C23" s="7" t="s">
        <v>96</v>
      </c>
      <c r="D23" s="9">
        <v>11235</v>
      </c>
      <c r="E23" s="9"/>
      <c r="F23" s="9"/>
      <c r="G23" s="9"/>
      <c r="H23" s="9">
        <v>500</v>
      </c>
      <c r="I23" s="9">
        <v>260</v>
      </c>
      <c r="J23" s="9">
        <f t="shared" si="0"/>
        <v>760</v>
      </c>
      <c r="K23" s="9"/>
      <c r="L23" s="9"/>
      <c r="M23" s="9"/>
      <c r="N23" s="9">
        <f t="shared" si="1"/>
        <v>11995</v>
      </c>
      <c r="O23" s="9">
        <v>2063.27</v>
      </c>
      <c r="P23" s="9">
        <v>570.88</v>
      </c>
      <c r="Q23" s="9">
        <v>374.5</v>
      </c>
      <c r="R23" s="9">
        <v>260</v>
      </c>
      <c r="S23" s="9">
        <f t="shared" si="2"/>
        <v>3268.65</v>
      </c>
      <c r="T23" s="9">
        <f t="shared" si="3"/>
        <v>8726.35</v>
      </c>
    </row>
    <row r="24" spans="1:20" x14ac:dyDescent="0.25">
      <c r="A24" s="6" t="s">
        <v>35</v>
      </c>
      <c r="B24" s="7" t="s">
        <v>80</v>
      </c>
      <c r="C24" s="7" t="s">
        <v>101</v>
      </c>
      <c r="D24" s="9">
        <v>3203.09</v>
      </c>
      <c r="E24" s="9"/>
      <c r="F24" s="9"/>
      <c r="G24" s="9">
        <f>271.06+45.18</f>
        <v>316.24</v>
      </c>
      <c r="H24" s="9">
        <v>500</v>
      </c>
      <c r="I24" s="9"/>
      <c r="J24" s="9">
        <f t="shared" si="0"/>
        <v>500</v>
      </c>
      <c r="K24" s="9"/>
      <c r="L24" s="9"/>
      <c r="M24" s="9"/>
      <c r="N24" s="9">
        <f t="shared" si="1"/>
        <v>4019.33</v>
      </c>
      <c r="O24" s="9">
        <v>112.68</v>
      </c>
      <c r="P24" s="9">
        <v>385.19</v>
      </c>
      <c r="Q24" s="9">
        <v>17.62</v>
      </c>
      <c r="R24" s="9"/>
      <c r="S24" s="9">
        <f t="shared" si="2"/>
        <v>515.49</v>
      </c>
      <c r="T24" s="9">
        <f t="shared" si="3"/>
        <v>3503.84</v>
      </c>
    </row>
    <row r="25" spans="1:20" x14ac:dyDescent="0.25">
      <c r="A25" s="6" t="s">
        <v>36</v>
      </c>
      <c r="B25" s="7" t="s">
        <v>68</v>
      </c>
      <c r="C25" s="7" t="s">
        <v>92</v>
      </c>
      <c r="D25" s="9">
        <v>3203.09</v>
      </c>
      <c r="E25" s="9"/>
      <c r="F25" s="9"/>
      <c r="G25" s="9"/>
      <c r="H25" s="9">
        <v>500</v>
      </c>
      <c r="I25" s="9"/>
      <c r="J25" s="9">
        <f t="shared" si="0"/>
        <v>500</v>
      </c>
      <c r="K25" s="9"/>
      <c r="L25" s="9"/>
      <c r="M25" s="9"/>
      <c r="N25" s="9">
        <f t="shared" si="1"/>
        <v>3703.09</v>
      </c>
      <c r="O25" s="9">
        <v>63.79</v>
      </c>
      <c r="P25" s="9">
        <v>340.45</v>
      </c>
      <c r="Q25" s="9">
        <v>108.1</v>
      </c>
      <c r="R25" s="9"/>
      <c r="S25" s="9">
        <f t="shared" si="2"/>
        <v>512.34</v>
      </c>
      <c r="T25" s="9">
        <f t="shared" si="3"/>
        <v>3190.75</v>
      </c>
    </row>
    <row r="26" spans="1:20" x14ac:dyDescent="0.25">
      <c r="A26" s="6" t="s">
        <v>37</v>
      </c>
      <c r="B26" s="7" t="s">
        <v>77</v>
      </c>
      <c r="C26" s="7" t="s">
        <v>96</v>
      </c>
      <c r="D26" s="9">
        <f>7325.93+154.07</f>
        <v>7480</v>
      </c>
      <c r="E26" s="9"/>
      <c r="F26" s="9"/>
      <c r="G26" s="9"/>
      <c r="H26" s="9">
        <v>500</v>
      </c>
      <c r="I26" s="9"/>
      <c r="J26" s="9">
        <f t="shared" si="0"/>
        <v>500</v>
      </c>
      <c r="K26" s="9"/>
      <c r="L26" s="9"/>
      <c r="M26" s="9"/>
      <c r="N26" s="9">
        <f t="shared" si="1"/>
        <v>7980</v>
      </c>
      <c r="O26" s="9">
        <v>1030.6500000000001</v>
      </c>
      <c r="P26" s="9">
        <v>570.88</v>
      </c>
      <c r="Q26" s="9"/>
      <c r="R26" s="9"/>
      <c r="S26" s="9">
        <f t="shared" si="2"/>
        <v>1601.5300000000002</v>
      </c>
      <c r="T26" s="9">
        <f t="shared" si="3"/>
        <v>6378.4699999999993</v>
      </c>
    </row>
    <row r="27" spans="1:20" x14ac:dyDescent="0.25">
      <c r="A27" s="6" t="s">
        <v>128</v>
      </c>
      <c r="B27" s="17" t="s">
        <v>81</v>
      </c>
      <c r="C27" s="7" t="s">
        <v>98</v>
      </c>
      <c r="D27" s="9">
        <v>0</v>
      </c>
      <c r="E27" s="9"/>
      <c r="F27" s="9"/>
      <c r="G27" s="9"/>
      <c r="H27" s="9">
        <v>0</v>
      </c>
      <c r="I27" s="9"/>
      <c r="J27" s="9">
        <f t="shared" si="0"/>
        <v>0</v>
      </c>
      <c r="K27" s="9"/>
      <c r="L27" s="9"/>
      <c r="M27" s="9"/>
      <c r="N27" s="9">
        <f t="shared" si="1"/>
        <v>0</v>
      </c>
      <c r="O27" s="9"/>
      <c r="P27" s="9"/>
      <c r="Q27" s="9"/>
      <c r="R27" s="9"/>
      <c r="S27" s="9"/>
      <c r="T27" s="9"/>
    </row>
    <row r="28" spans="1:20" hidden="1" x14ac:dyDescent="0.25">
      <c r="A28" s="6" t="s">
        <v>39</v>
      </c>
      <c r="B28" s="7" t="s">
        <v>72</v>
      </c>
      <c r="C28" s="7" t="s">
        <v>106</v>
      </c>
      <c r="D28" s="9">
        <v>1191.76</v>
      </c>
      <c r="E28" s="9"/>
      <c r="F28" s="9"/>
      <c r="G28" s="9"/>
      <c r="H28" s="9">
        <v>500</v>
      </c>
      <c r="I28" s="9">
        <v>260</v>
      </c>
      <c r="J28" s="9">
        <f t="shared" si="0"/>
        <v>760</v>
      </c>
      <c r="K28" s="9"/>
      <c r="L28" s="9"/>
      <c r="M28" s="9"/>
      <c r="N28" s="9">
        <f t="shared" si="1"/>
        <v>1951.76</v>
      </c>
      <c r="O28" s="9"/>
      <c r="P28" s="9"/>
      <c r="Q28" s="9"/>
      <c r="R28" s="9"/>
      <c r="S28" s="9"/>
      <c r="T28" s="9">
        <f t="shared" si="3"/>
        <v>1951.76</v>
      </c>
    </row>
    <row r="29" spans="1:20" x14ac:dyDescent="0.25">
      <c r="A29" s="13" t="s">
        <v>40</v>
      </c>
      <c r="B29" s="15" t="s">
        <v>69</v>
      </c>
      <c r="C29" s="7" t="s">
        <v>100</v>
      </c>
      <c r="D29" s="9">
        <v>3203.09</v>
      </c>
      <c r="E29" s="9"/>
      <c r="F29" s="9"/>
      <c r="G29" s="9"/>
      <c r="H29" s="9">
        <v>500</v>
      </c>
      <c r="I29" s="9">
        <v>260</v>
      </c>
      <c r="J29" s="9">
        <f t="shared" si="0"/>
        <v>760</v>
      </c>
      <c r="K29" s="9"/>
      <c r="L29" s="9"/>
      <c r="M29" s="9"/>
      <c r="N29" s="9">
        <f t="shared" si="1"/>
        <v>3963.09</v>
      </c>
      <c r="O29" s="9">
        <v>72.53</v>
      </c>
      <c r="P29" s="9">
        <v>352.1</v>
      </c>
      <c r="Q29" s="9">
        <v>2.14</v>
      </c>
      <c r="R29" s="9">
        <v>128.12</v>
      </c>
      <c r="S29" s="9">
        <f t="shared" si="2"/>
        <v>554.89</v>
      </c>
      <c r="T29" s="9">
        <f t="shared" si="3"/>
        <v>3408.2000000000003</v>
      </c>
    </row>
    <row r="30" spans="1:20" x14ac:dyDescent="0.25">
      <c r="A30" s="6" t="s">
        <v>41</v>
      </c>
      <c r="B30" s="7" t="s">
        <v>77</v>
      </c>
      <c r="C30" s="7" t="s">
        <v>96</v>
      </c>
      <c r="D30" s="9">
        <f>7325.93+154.07</f>
        <v>7480</v>
      </c>
      <c r="E30" s="9"/>
      <c r="F30" s="9"/>
      <c r="G30" s="9"/>
      <c r="H30" s="9">
        <v>500</v>
      </c>
      <c r="I30" s="9"/>
      <c r="J30" s="9">
        <f t="shared" si="0"/>
        <v>500</v>
      </c>
      <c r="K30" s="9"/>
      <c r="L30" s="9"/>
      <c r="M30" s="9"/>
      <c r="N30" s="9">
        <f t="shared" si="1"/>
        <v>7980</v>
      </c>
      <c r="O30" s="9">
        <v>1030.6500000000001</v>
      </c>
      <c r="P30" s="9">
        <v>570.88</v>
      </c>
      <c r="Q30" s="9"/>
      <c r="R30" s="9"/>
      <c r="S30" s="9">
        <f t="shared" si="2"/>
        <v>1601.5300000000002</v>
      </c>
      <c r="T30" s="9">
        <f t="shared" si="3"/>
        <v>6378.4699999999993</v>
      </c>
    </row>
    <row r="31" spans="1:20" x14ac:dyDescent="0.25">
      <c r="A31" s="6" t="s">
        <v>42</v>
      </c>
      <c r="B31" s="7" t="s">
        <v>69</v>
      </c>
      <c r="C31" s="7" t="s">
        <v>100</v>
      </c>
      <c r="D31" s="9">
        <v>3203.09</v>
      </c>
      <c r="E31" s="9"/>
      <c r="F31" s="9"/>
      <c r="G31" s="9"/>
      <c r="H31" s="9">
        <v>500</v>
      </c>
      <c r="I31" s="9">
        <v>260</v>
      </c>
      <c r="J31" s="9">
        <f t="shared" si="0"/>
        <v>760</v>
      </c>
      <c r="K31" s="9"/>
      <c r="L31" s="9"/>
      <c r="M31" s="9"/>
      <c r="N31" s="9">
        <f t="shared" si="1"/>
        <v>3963.09</v>
      </c>
      <c r="O31" s="9">
        <v>72.53</v>
      </c>
      <c r="P31" s="9">
        <v>352.1</v>
      </c>
      <c r="Q31" s="9">
        <v>2.14</v>
      </c>
      <c r="R31" s="9">
        <v>128.12</v>
      </c>
      <c r="S31" s="9">
        <f t="shared" si="2"/>
        <v>554.89</v>
      </c>
      <c r="T31" s="9">
        <f t="shared" si="3"/>
        <v>3408.2000000000003</v>
      </c>
    </row>
    <row r="32" spans="1:20" x14ac:dyDescent="0.25">
      <c r="A32" s="6" t="s">
        <v>43</v>
      </c>
      <c r="B32" s="7" t="s">
        <v>76</v>
      </c>
      <c r="C32" s="7" t="s">
        <v>97</v>
      </c>
      <c r="D32" s="9">
        <f>2441.98+154.07</f>
        <v>2596.0500000000002</v>
      </c>
      <c r="E32" s="12">
        <v>4883.95</v>
      </c>
      <c r="F32" s="9"/>
      <c r="G32" s="9"/>
      <c r="H32" s="9">
        <v>150</v>
      </c>
      <c r="I32" s="9">
        <v>49.2</v>
      </c>
      <c r="J32" s="9">
        <f t="shared" si="0"/>
        <v>199.2</v>
      </c>
      <c r="K32" s="9">
        <v>1627.98</v>
      </c>
      <c r="L32" s="9"/>
      <c r="M32" s="9"/>
      <c r="N32" s="9">
        <f t="shared" si="1"/>
        <v>9307.18</v>
      </c>
      <c r="O32" s="9">
        <f>47.37+764.43</f>
        <v>811.8</v>
      </c>
      <c r="P32" s="9">
        <v>570.88</v>
      </c>
      <c r="Q32" s="9">
        <v>60.44</v>
      </c>
      <c r="R32" s="9">
        <v>49.2</v>
      </c>
      <c r="S32" s="9">
        <f t="shared" si="2"/>
        <v>1492.32</v>
      </c>
      <c r="T32" s="9">
        <f t="shared" si="3"/>
        <v>7814.8600000000006</v>
      </c>
    </row>
    <row r="33" spans="1:20" x14ac:dyDescent="0.25">
      <c r="A33" s="7" t="s">
        <v>44</v>
      </c>
      <c r="B33" s="7" t="s">
        <v>69</v>
      </c>
      <c r="C33" s="7" t="s">
        <v>100</v>
      </c>
      <c r="D33" s="9">
        <v>3203.09</v>
      </c>
      <c r="E33" s="9"/>
      <c r="F33" s="9"/>
      <c r="G33" s="9">
        <f>160.15+26.69</f>
        <v>186.84</v>
      </c>
      <c r="H33" s="9">
        <v>500</v>
      </c>
      <c r="I33" s="9">
        <v>418</v>
      </c>
      <c r="J33" s="9">
        <f t="shared" si="0"/>
        <v>918</v>
      </c>
      <c r="K33" s="9"/>
      <c r="L33" s="9"/>
      <c r="M33" s="9"/>
      <c r="N33" s="9">
        <f t="shared" si="1"/>
        <v>4307.93</v>
      </c>
      <c r="O33" s="9">
        <v>96.65</v>
      </c>
      <c r="P33" s="9">
        <v>371.98</v>
      </c>
      <c r="Q33" s="9">
        <v>8.27</v>
      </c>
      <c r="R33" s="9">
        <v>128.12</v>
      </c>
      <c r="S33" s="9">
        <f t="shared" si="2"/>
        <v>605.02</v>
      </c>
      <c r="T33" s="9">
        <f t="shared" si="3"/>
        <v>3702.9100000000003</v>
      </c>
    </row>
    <row r="34" spans="1:20" x14ac:dyDescent="0.25">
      <c r="A34" s="7" t="s">
        <v>45</v>
      </c>
      <c r="B34" s="7" t="s">
        <v>82</v>
      </c>
      <c r="C34" s="7" t="s">
        <v>97</v>
      </c>
      <c r="D34" s="9">
        <v>11235</v>
      </c>
      <c r="E34" s="9"/>
      <c r="F34" s="9"/>
      <c r="G34" s="9"/>
      <c r="H34" s="9">
        <v>500</v>
      </c>
      <c r="I34" s="9">
        <v>1062.4000000000001</v>
      </c>
      <c r="J34" s="9">
        <f t="shared" si="0"/>
        <v>1562.4</v>
      </c>
      <c r="K34" s="9"/>
      <c r="L34" s="9"/>
      <c r="M34" s="9"/>
      <c r="N34" s="9">
        <f t="shared" si="1"/>
        <v>12797.4</v>
      </c>
      <c r="O34" s="9">
        <v>2063.27</v>
      </c>
      <c r="P34" s="9">
        <v>570.88</v>
      </c>
      <c r="Q34" s="9"/>
      <c r="R34" s="9">
        <v>449.4</v>
      </c>
      <c r="S34" s="9">
        <f t="shared" si="2"/>
        <v>3083.55</v>
      </c>
      <c r="T34" s="9">
        <f t="shared" si="3"/>
        <v>9713.8499999999985</v>
      </c>
    </row>
    <row r="35" spans="1:20" x14ac:dyDescent="0.25">
      <c r="A35" s="7" t="s">
        <v>46</v>
      </c>
      <c r="B35" s="7" t="s">
        <v>83</v>
      </c>
      <c r="C35" s="7" t="s">
        <v>94</v>
      </c>
      <c r="D35" s="9">
        <v>3203.09</v>
      </c>
      <c r="E35" s="9"/>
      <c r="F35" s="9"/>
      <c r="G35" s="9"/>
      <c r="H35" s="9">
        <v>500</v>
      </c>
      <c r="I35" s="9">
        <v>260</v>
      </c>
      <c r="J35" s="9">
        <f t="shared" si="0"/>
        <v>760</v>
      </c>
      <c r="K35" s="9"/>
      <c r="L35" s="9"/>
      <c r="M35" s="9"/>
      <c r="N35" s="9">
        <f t="shared" si="1"/>
        <v>3963.09</v>
      </c>
      <c r="O35" s="9">
        <v>71.569999999999993</v>
      </c>
      <c r="P35" s="9">
        <v>351.31</v>
      </c>
      <c r="Q35" s="9">
        <v>9.34</v>
      </c>
      <c r="R35" s="9">
        <v>128.12</v>
      </c>
      <c r="S35" s="9">
        <f t="shared" si="2"/>
        <v>560.33999999999992</v>
      </c>
      <c r="T35" s="9">
        <f t="shared" si="3"/>
        <v>3402.75</v>
      </c>
    </row>
    <row r="36" spans="1:20" x14ac:dyDescent="0.25">
      <c r="A36" s="7" t="s">
        <v>47</v>
      </c>
      <c r="B36" s="7" t="s">
        <v>84</v>
      </c>
      <c r="C36" s="7" t="s">
        <v>95</v>
      </c>
      <c r="D36" s="9">
        <v>11235</v>
      </c>
      <c r="E36" s="9"/>
      <c r="F36" s="9"/>
      <c r="G36" s="9"/>
      <c r="H36" s="9">
        <v>500</v>
      </c>
      <c r="I36" s="9">
        <v>152</v>
      </c>
      <c r="J36" s="9">
        <f t="shared" si="0"/>
        <v>652</v>
      </c>
      <c r="K36" s="9"/>
      <c r="L36" s="9"/>
      <c r="M36" s="9"/>
      <c r="N36" s="9">
        <f t="shared" si="1"/>
        <v>11887</v>
      </c>
      <c r="O36" s="9">
        <v>2063.27</v>
      </c>
      <c r="P36" s="9">
        <v>570.88</v>
      </c>
      <c r="Q36" s="9"/>
      <c r="R36" s="9">
        <v>152</v>
      </c>
      <c r="S36" s="9">
        <f t="shared" si="2"/>
        <v>2786.15</v>
      </c>
      <c r="T36" s="9">
        <f t="shared" si="3"/>
        <v>9100.85</v>
      </c>
    </row>
    <row r="37" spans="1:20" hidden="1" x14ac:dyDescent="0.25">
      <c r="A37" s="6" t="s">
        <v>104</v>
      </c>
      <c r="B37" s="7" t="s">
        <v>72</v>
      </c>
      <c r="C37" s="7" t="s">
        <v>102</v>
      </c>
      <c r="D37" s="9">
        <f>595.95+754.78</f>
        <v>1350.73</v>
      </c>
      <c r="E37" s="9"/>
      <c r="F37" s="9"/>
      <c r="G37" s="9"/>
      <c r="H37" s="9">
        <v>500</v>
      </c>
      <c r="I37" s="9">
        <v>102.7</v>
      </c>
      <c r="J37" s="9">
        <f t="shared" si="0"/>
        <v>602.70000000000005</v>
      </c>
      <c r="K37" s="9"/>
      <c r="L37" s="9"/>
      <c r="M37" s="9"/>
      <c r="N37" s="9">
        <f t="shared" si="1"/>
        <v>1953.43</v>
      </c>
      <c r="O37" s="9"/>
      <c r="P37" s="9"/>
      <c r="Q37" s="9"/>
      <c r="R37" s="9"/>
      <c r="S37" s="9"/>
      <c r="T37" s="9">
        <f t="shared" si="3"/>
        <v>1953.43</v>
      </c>
    </row>
    <row r="38" spans="1:20" x14ac:dyDescent="0.25">
      <c r="A38" s="7" t="s">
        <v>48</v>
      </c>
      <c r="B38" s="7" t="s">
        <v>85</v>
      </c>
      <c r="C38" s="7" t="s">
        <v>102</v>
      </c>
      <c r="D38" s="9">
        <v>8554.7000000000007</v>
      </c>
      <c r="E38" s="9"/>
      <c r="F38" s="9"/>
      <c r="G38" s="9"/>
      <c r="H38" s="9">
        <v>500</v>
      </c>
      <c r="I38" s="9"/>
      <c r="J38" s="9">
        <f t="shared" si="0"/>
        <v>500</v>
      </c>
      <c r="K38" s="9"/>
      <c r="L38" s="9"/>
      <c r="M38" s="9"/>
      <c r="N38" s="9">
        <f t="shared" si="1"/>
        <v>9054.7000000000007</v>
      </c>
      <c r="O38" s="9">
        <v>1326.19</v>
      </c>
      <c r="P38" s="9">
        <v>570.88</v>
      </c>
      <c r="Q38" s="9"/>
      <c r="R38" s="9"/>
      <c r="S38" s="9">
        <f t="shared" si="2"/>
        <v>1897.0700000000002</v>
      </c>
      <c r="T38" s="9">
        <f t="shared" si="3"/>
        <v>7157.630000000001</v>
      </c>
    </row>
    <row r="39" spans="1:20" x14ac:dyDescent="0.25">
      <c r="A39" s="7" t="s">
        <v>49</v>
      </c>
      <c r="B39" s="7" t="s">
        <v>86</v>
      </c>
      <c r="C39" s="7" t="s">
        <v>102</v>
      </c>
      <c r="D39" s="9">
        <v>6183.65</v>
      </c>
      <c r="E39" s="9"/>
      <c r="F39" s="9"/>
      <c r="G39" s="9">
        <f>251.21+41.87</f>
        <v>293.08</v>
      </c>
      <c r="H39" s="9">
        <v>500</v>
      </c>
      <c r="I39" s="9">
        <v>164</v>
      </c>
      <c r="J39" s="9">
        <f t="shared" si="0"/>
        <v>664</v>
      </c>
      <c r="K39" s="9"/>
      <c r="L39" s="9"/>
      <c r="M39" s="9"/>
      <c r="N39" s="9">
        <f t="shared" si="1"/>
        <v>7140.73</v>
      </c>
      <c r="O39" s="9">
        <v>754.75</v>
      </c>
      <c r="P39" s="9">
        <v>570.88</v>
      </c>
      <c r="Q39" s="9"/>
      <c r="R39" s="9">
        <v>164</v>
      </c>
      <c r="S39" s="9">
        <f t="shared" si="2"/>
        <v>1489.63</v>
      </c>
      <c r="T39" s="9">
        <f t="shared" si="3"/>
        <v>5651.0999999999995</v>
      </c>
    </row>
    <row r="40" spans="1:20" x14ac:dyDescent="0.25">
      <c r="A40" s="7" t="s">
        <v>50</v>
      </c>
      <c r="B40" s="7" t="s">
        <v>80</v>
      </c>
      <c r="C40" s="7" t="s">
        <v>101</v>
      </c>
      <c r="D40" s="9">
        <v>3203.09</v>
      </c>
      <c r="E40" s="9"/>
      <c r="F40" s="9"/>
      <c r="G40" s="9">
        <f>55.65+9.28</f>
        <v>64.929999999999993</v>
      </c>
      <c r="H40" s="9">
        <v>500</v>
      </c>
      <c r="I40" s="9">
        <v>198</v>
      </c>
      <c r="J40" s="9">
        <f t="shared" si="0"/>
        <v>698</v>
      </c>
      <c r="K40" s="9"/>
      <c r="L40" s="9"/>
      <c r="M40" s="9"/>
      <c r="N40" s="9">
        <f t="shared" si="1"/>
        <v>3966.02</v>
      </c>
      <c r="O40" s="9">
        <v>81.02</v>
      </c>
      <c r="P40" s="9">
        <v>359.1</v>
      </c>
      <c r="Q40" s="9">
        <v>3.47</v>
      </c>
      <c r="R40" s="9">
        <v>128.12</v>
      </c>
      <c r="S40" s="9">
        <f t="shared" si="2"/>
        <v>571.71</v>
      </c>
      <c r="T40" s="9">
        <f t="shared" si="3"/>
        <v>3394.31</v>
      </c>
    </row>
    <row r="41" spans="1:20" x14ac:dyDescent="0.25">
      <c r="A41" s="6" t="s">
        <v>51</v>
      </c>
      <c r="B41" s="7" t="s">
        <v>68</v>
      </c>
      <c r="C41" s="7" t="s">
        <v>92</v>
      </c>
      <c r="D41" s="9">
        <v>1067.7</v>
      </c>
      <c r="E41" s="9">
        <v>2135.39</v>
      </c>
      <c r="F41" s="9"/>
      <c r="G41" s="9"/>
      <c r="H41" s="9">
        <v>150</v>
      </c>
      <c r="I41" s="9">
        <v>65</v>
      </c>
      <c r="J41" s="9">
        <f t="shared" si="0"/>
        <v>215</v>
      </c>
      <c r="K41" s="12">
        <v>711.8</v>
      </c>
      <c r="L41" s="9"/>
      <c r="M41" s="9"/>
      <c r="N41" s="9">
        <f t="shared" si="1"/>
        <v>4129.8900000000003</v>
      </c>
      <c r="O41" s="9">
        <v>47.25</v>
      </c>
      <c r="P41" s="9">
        <f>117.15+313.19</f>
        <v>430.34000000000003</v>
      </c>
      <c r="Q41" s="9">
        <f>10.94+10.68</f>
        <v>21.619999999999997</v>
      </c>
      <c r="R41" s="9">
        <v>65</v>
      </c>
      <c r="S41" s="9">
        <f t="shared" si="2"/>
        <v>564.21</v>
      </c>
      <c r="T41" s="9">
        <f t="shared" si="3"/>
        <v>3565.6800000000003</v>
      </c>
    </row>
    <row r="42" spans="1:20" hidden="1" x14ac:dyDescent="0.25">
      <c r="A42" s="6" t="s">
        <v>105</v>
      </c>
      <c r="B42" s="7" t="s">
        <v>72</v>
      </c>
      <c r="C42" s="7" t="s">
        <v>98</v>
      </c>
      <c r="D42" s="9">
        <v>1191.76</v>
      </c>
      <c r="E42" s="9"/>
      <c r="F42" s="9"/>
      <c r="G42" s="9"/>
      <c r="H42" s="9">
        <v>500</v>
      </c>
      <c r="I42" s="9">
        <v>152</v>
      </c>
      <c r="J42" s="9">
        <f t="shared" si="0"/>
        <v>652</v>
      </c>
      <c r="K42" s="9"/>
      <c r="L42" s="9"/>
      <c r="M42" s="9"/>
      <c r="N42" s="9">
        <f t="shared" si="1"/>
        <v>1843.76</v>
      </c>
      <c r="O42" s="9"/>
      <c r="P42" s="9"/>
      <c r="Q42" s="9"/>
      <c r="R42" s="9"/>
      <c r="S42" s="9"/>
      <c r="T42" s="9">
        <f t="shared" ref="T42" si="4">N42-S42</f>
        <v>1843.76</v>
      </c>
    </row>
    <row r="43" spans="1:20" hidden="1" x14ac:dyDescent="0.25">
      <c r="A43" s="6" t="s">
        <v>52</v>
      </c>
      <c r="B43" s="7" t="s">
        <v>72</v>
      </c>
      <c r="C43" s="7" t="s">
        <v>98</v>
      </c>
      <c r="D43" s="9">
        <v>1191.76</v>
      </c>
      <c r="E43" s="9"/>
      <c r="F43" s="9"/>
      <c r="G43" s="9"/>
      <c r="H43" s="9">
        <v>500</v>
      </c>
      <c r="I43" s="9">
        <v>418</v>
      </c>
      <c r="J43" s="9">
        <f t="shared" si="0"/>
        <v>918</v>
      </c>
      <c r="K43" s="9"/>
      <c r="L43" s="9"/>
      <c r="M43" s="9"/>
      <c r="N43" s="9">
        <f t="shared" si="1"/>
        <v>2109.7600000000002</v>
      </c>
      <c r="O43" s="9"/>
      <c r="P43" s="9"/>
      <c r="Q43" s="9"/>
      <c r="R43" s="9"/>
      <c r="S43" s="9"/>
      <c r="T43" s="9">
        <f t="shared" si="3"/>
        <v>2109.7600000000002</v>
      </c>
    </row>
    <row r="44" spans="1:20" x14ac:dyDescent="0.25">
      <c r="A44" s="7" t="s">
        <v>53</v>
      </c>
      <c r="B44" s="7" t="s">
        <v>68</v>
      </c>
      <c r="C44" s="7" t="s">
        <v>92</v>
      </c>
      <c r="D44" s="9">
        <v>3203.09</v>
      </c>
      <c r="E44" s="9"/>
      <c r="F44" s="9"/>
      <c r="G44" s="9"/>
      <c r="H44" s="9">
        <v>500</v>
      </c>
      <c r="I44" s="9"/>
      <c r="J44" s="9">
        <f t="shared" si="0"/>
        <v>500</v>
      </c>
      <c r="K44" s="9"/>
      <c r="L44" s="9">
        <v>23.62</v>
      </c>
      <c r="M44" s="9"/>
      <c r="N44" s="9">
        <f t="shared" si="1"/>
        <v>3726.71</v>
      </c>
      <c r="O44" s="9">
        <v>75.97</v>
      </c>
      <c r="P44" s="9">
        <v>354.94</v>
      </c>
      <c r="Q44" s="9">
        <v>32.03</v>
      </c>
      <c r="R44" s="9"/>
      <c r="S44" s="9">
        <f t="shared" si="2"/>
        <v>462.93999999999994</v>
      </c>
      <c r="T44" s="9">
        <f t="shared" si="3"/>
        <v>3263.77</v>
      </c>
    </row>
    <row r="45" spans="1:20" x14ac:dyDescent="0.25">
      <c r="A45" s="7" t="s">
        <v>54</v>
      </c>
      <c r="B45" s="7" t="s">
        <v>76</v>
      </c>
      <c r="C45" s="7" t="s">
        <v>97</v>
      </c>
      <c r="D45" s="9">
        <f>3174.57+66.76</f>
        <v>3241.3300000000004</v>
      </c>
      <c r="E45" s="9"/>
      <c r="F45" s="9"/>
      <c r="G45" s="9"/>
      <c r="H45" s="9">
        <v>225</v>
      </c>
      <c r="I45" s="19">
        <v>185.4</v>
      </c>
      <c r="J45" s="9">
        <f t="shared" si="0"/>
        <v>410.4</v>
      </c>
      <c r="K45" s="9"/>
      <c r="L45" s="9"/>
      <c r="M45" s="9"/>
      <c r="N45" s="9">
        <f t="shared" si="1"/>
        <v>3651.7300000000005</v>
      </c>
      <c r="O45" s="9">
        <v>59.34</v>
      </c>
      <c r="P45" s="9">
        <v>356.55</v>
      </c>
      <c r="Q45" s="9"/>
      <c r="R45" s="9">
        <v>131.87</v>
      </c>
      <c r="S45" s="9">
        <f t="shared" si="2"/>
        <v>547.76</v>
      </c>
      <c r="T45" s="9">
        <f t="shared" si="3"/>
        <v>3103.9700000000003</v>
      </c>
    </row>
    <row r="46" spans="1:20" x14ac:dyDescent="0.25">
      <c r="A46" s="6" t="s">
        <v>55</v>
      </c>
      <c r="B46" s="7" t="s">
        <v>76</v>
      </c>
      <c r="C46" s="7" t="s">
        <v>97</v>
      </c>
      <c r="D46" s="9">
        <f>7325.93+154.07</f>
        <v>7480</v>
      </c>
      <c r="E46" s="9"/>
      <c r="F46" s="9"/>
      <c r="G46" s="9"/>
      <c r="H46" s="9">
        <v>500</v>
      </c>
      <c r="I46" s="9"/>
      <c r="J46" s="9">
        <f t="shared" si="0"/>
        <v>500</v>
      </c>
      <c r="K46" s="9"/>
      <c r="L46" s="9"/>
      <c r="M46" s="9"/>
      <c r="N46" s="9">
        <f t="shared" si="1"/>
        <v>7980</v>
      </c>
      <c r="O46" s="9">
        <v>1028.8</v>
      </c>
      <c r="P46" s="9">
        <v>570.88</v>
      </c>
      <c r="Q46" s="9">
        <v>6.72</v>
      </c>
      <c r="R46" s="9"/>
      <c r="S46" s="9">
        <f t="shared" si="2"/>
        <v>1606.3999999999999</v>
      </c>
      <c r="T46" s="9">
        <f t="shared" si="3"/>
        <v>6373.6</v>
      </c>
    </row>
    <row r="47" spans="1:20" hidden="1" x14ac:dyDescent="0.25">
      <c r="A47" s="6" t="s">
        <v>56</v>
      </c>
      <c r="B47" s="7" t="s">
        <v>72</v>
      </c>
      <c r="C47" s="7" t="s">
        <v>94</v>
      </c>
      <c r="D47" s="9">
        <v>1191.76</v>
      </c>
      <c r="E47" s="9"/>
      <c r="F47" s="9"/>
      <c r="G47" s="9"/>
      <c r="H47" s="9">
        <v>500</v>
      </c>
      <c r="I47" s="9">
        <v>260</v>
      </c>
      <c r="J47" s="9">
        <f t="shared" si="0"/>
        <v>760</v>
      </c>
      <c r="K47" s="9"/>
      <c r="L47" s="9"/>
      <c r="M47" s="9"/>
      <c r="N47" s="9">
        <f t="shared" si="1"/>
        <v>1951.76</v>
      </c>
      <c r="O47" s="9"/>
      <c r="P47" s="9"/>
      <c r="Q47" s="9"/>
      <c r="R47" s="9"/>
      <c r="S47" s="9"/>
      <c r="T47" s="9">
        <f t="shared" si="3"/>
        <v>1951.76</v>
      </c>
    </row>
    <row r="48" spans="1:20" x14ac:dyDescent="0.25">
      <c r="A48" s="6" t="s">
        <v>57</v>
      </c>
      <c r="B48" s="7" t="s">
        <v>76</v>
      </c>
      <c r="C48" s="7" t="s">
        <v>96</v>
      </c>
      <c r="D48" s="9">
        <f>7325.93+154.07</f>
        <v>7480</v>
      </c>
      <c r="E48" s="9"/>
      <c r="F48" s="9"/>
      <c r="G48" s="9"/>
      <c r="H48" s="9">
        <v>500</v>
      </c>
      <c r="I48" s="9"/>
      <c r="J48" s="9">
        <f t="shared" si="0"/>
        <v>500</v>
      </c>
      <c r="K48" s="9"/>
      <c r="L48" s="9">
        <v>54.52</v>
      </c>
      <c r="M48" s="9"/>
      <c r="N48" s="9">
        <f t="shared" si="1"/>
        <v>8034.52</v>
      </c>
      <c r="O48" s="9">
        <v>1042.95</v>
      </c>
      <c r="P48" s="9">
        <v>570.88</v>
      </c>
      <c r="Q48" s="9">
        <v>9.77</v>
      </c>
      <c r="R48" s="9"/>
      <c r="S48" s="9">
        <f t="shared" si="2"/>
        <v>1623.6</v>
      </c>
      <c r="T48" s="9">
        <f t="shared" si="3"/>
        <v>6410.92</v>
      </c>
    </row>
    <row r="49" spans="1:20" x14ac:dyDescent="0.25">
      <c r="A49" s="6" t="s">
        <v>58</v>
      </c>
      <c r="B49" s="7" t="s">
        <v>68</v>
      </c>
      <c r="C49" s="7" t="s">
        <v>92</v>
      </c>
      <c r="D49" s="9">
        <v>3203.09</v>
      </c>
      <c r="E49" s="9"/>
      <c r="F49" s="9"/>
      <c r="G49" s="9">
        <f>37.24+6.21</f>
        <v>43.45</v>
      </c>
      <c r="H49" s="9">
        <v>500</v>
      </c>
      <c r="I49" s="9">
        <v>260</v>
      </c>
      <c r="J49" s="9">
        <f t="shared" si="0"/>
        <v>760</v>
      </c>
      <c r="K49" s="9"/>
      <c r="L49" s="9"/>
      <c r="M49" s="9"/>
      <c r="N49" s="26">
        <f t="shared" si="1"/>
        <v>4006.54</v>
      </c>
      <c r="O49" s="9">
        <v>41.76</v>
      </c>
      <c r="P49" s="9">
        <v>351.01</v>
      </c>
      <c r="Q49" s="9">
        <f>55.52+32.03</f>
        <v>87.550000000000011</v>
      </c>
      <c r="R49" s="9">
        <v>128.12</v>
      </c>
      <c r="S49" s="9">
        <f t="shared" si="2"/>
        <v>608.44000000000005</v>
      </c>
      <c r="T49" s="9">
        <f t="shared" si="3"/>
        <v>3398.1</v>
      </c>
    </row>
    <row r="50" spans="1:20" x14ac:dyDescent="0.25">
      <c r="A50" s="6" t="s">
        <v>59</v>
      </c>
      <c r="B50" s="7" t="s">
        <v>76</v>
      </c>
      <c r="C50" s="7" t="s">
        <v>96</v>
      </c>
      <c r="D50" s="9">
        <f>7325.93+154.07</f>
        <v>7480</v>
      </c>
      <c r="E50" s="9"/>
      <c r="F50" s="9"/>
      <c r="G50" s="9"/>
      <c r="H50" s="9">
        <v>500</v>
      </c>
      <c r="I50" s="9">
        <v>164</v>
      </c>
      <c r="J50" s="9">
        <f t="shared" si="0"/>
        <v>664</v>
      </c>
      <c r="K50" s="9"/>
      <c r="L50" s="9"/>
      <c r="M50" s="9"/>
      <c r="N50" s="26">
        <f t="shared" si="1"/>
        <v>8144</v>
      </c>
      <c r="O50" s="9">
        <v>1028.8</v>
      </c>
      <c r="P50" s="9">
        <v>570.88</v>
      </c>
      <c r="Q50" s="9">
        <v>6.72</v>
      </c>
      <c r="R50" s="9">
        <v>164</v>
      </c>
      <c r="S50" s="9">
        <f t="shared" si="2"/>
        <v>1770.3999999999999</v>
      </c>
      <c r="T50" s="9">
        <f t="shared" si="3"/>
        <v>6373.6</v>
      </c>
    </row>
    <row r="51" spans="1:20" x14ac:dyDescent="0.25">
      <c r="A51" s="6" t="s">
        <v>60</v>
      </c>
      <c r="B51" s="7" t="s">
        <v>87</v>
      </c>
      <c r="C51" s="7" t="s">
        <v>94</v>
      </c>
      <c r="D51" s="9">
        <v>6183.65</v>
      </c>
      <c r="E51" s="9"/>
      <c r="F51" s="9"/>
      <c r="G51" s="9"/>
      <c r="H51" s="9">
        <v>500</v>
      </c>
      <c r="I51" s="9">
        <v>152</v>
      </c>
      <c r="J51" s="9">
        <f t="shared" si="0"/>
        <v>652</v>
      </c>
      <c r="K51" s="9"/>
      <c r="L51" s="9"/>
      <c r="M51" s="9"/>
      <c r="N51" s="26">
        <f t="shared" si="1"/>
        <v>6835.65</v>
      </c>
      <c r="O51" s="9">
        <v>670.75</v>
      </c>
      <c r="P51" s="9">
        <v>570.88</v>
      </c>
      <c r="Q51" s="9">
        <v>12.37</v>
      </c>
      <c r="R51" s="9">
        <v>152</v>
      </c>
      <c r="S51" s="9">
        <f t="shared" si="2"/>
        <v>1406</v>
      </c>
      <c r="T51" s="9">
        <f t="shared" si="3"/>
        <v>5429.65</v>
      </c>
    </row>
    <row r="52" spans="1:20" x14ac:dyDescent="0.25">
      <c r="A52" s="6" t="s">
        <v>61</v>
      </c>
      <c r="B52" s="7" t="s">
        <v>88</v>
      </c>
      <c r="C52" s="7" t="s">
        <v>93</v>
      </c>
      <c r="D52" s="9">
        <v>8554.7000000000007</v>
      </c>
      <c r="E52" s="9"/>
      <c r="F52" s="9"/>
      <c r="G52" s="9"/>
      <c r="H52" s="9">
        <v>500</v>
      </c>
      <c r="I52" s="9">
        <v>164</v>
      </c>
      <c r="J52" s="9">
        <f t="shared" si="0"/>
        <v>664</v>
      </c>
      <c r="K52" s="9"/>
      <c r="L52" s="9"/>
      <c r="M52" s="9"/>
      <c r="N52" s="26">
        <f t="shared" si="1"/>
        <v>9218.7000000000007</v>
      </c>
      <c r="O52" s="9">
        <v>1326.19</v>
      </c>
      <c r="P52" s="9">
        <v>570.88</v>
      </c>
      <c r="Q52" s="9"/>
      <c r="R52" s="9">
        <v>164</v>
      </c>
      <c r="S52" s="9">
        <f t="shared" si="2"/>
        <v>2061.0700000000002</v>
      </c>
      <c r="T52" s="9">
        <f t="shared" si="3"/>
        <v>7157.630000000001</v>
      </c>
    </row>
    <row r="53" spans="1:20" x14ac:dyDescent="0.25">
      <c r="A53" s="7" t="s">
        <v>62</v>
      </c>
      <c r="B53" s="7" t="s">
        <v>83</v>
      </c>
      <c r="C53" s="7" t="s">
        <v>94</v>
      </c>
      <c r="D53" s="9">
        <v>3203.09</v>
      </c>
      <c r="E53" s="9"/>
      <c r="F53" s="9"/>
      <c r="G53" s="9"/>
      <c r="H53" s="9">
        <v>500</v>
      </c>
      <c r="I53" s="9">
        <v>400</v>
      </c>
      <c r="J53" s="9">
        <f t="shared" si="0"/>
        <v>900</v>
      </c>
      <c r="K53" s="9"/>
      <c r="L53" s="9"/>
      <c r="M53" s="9"/>
      <c r="N53" s="26">
        <f t="shared" si="1"/>
        <v>4103.09</v>
      </c>
      <c r="O53" s="9">
        <v>71.989999999999995</v>
      </c>
      <c r="P53" s="9">
        <v>351.66</v>
      </c>
      <c r="Q53" s="9">
        <f>32.03+6.14</f>
        <v>38.17</v>
      </c>
      <c r="R53" s="9">
        <v>128.12</v>
      </c>
      <c r="S53" s="9">
        <f t="shared" si="2"/>
        <v>589.94000000000005</v>
      </c>
      <c r="T53" s="9">
        <f t="shared" si="3"/>
        <v>3513.15</v>
      </c>
    </row>
    <row r="54" spans="1:20" x14ac:dyDescent="0.25">
      <c r="A54" s="7" t="s">
        <v>63</v>
      </c>
      <c r="B54" s="7" t="s">
        <v>89</v>
      </c>
      <c r="C54" s="7" t="s">
        <v>98</v>
      </c>
      <c r="D54" s="9">
        <v>6183.65</v>
      </c>
      <c r="E54" s="9"/>
      <c r="F54" s="9"/>
      <c r="G54" s="9"/>
      <c r="H54" s="9">
        <v>500</v>
      </c>
      <c r="I54" s="9">
        <v>164</v>
      </c>
      <c r="J54" s="9">
        <f t="shared" si="0"/>
        <v>664</v>
      </c>
      <c r="K54" s="9"/>
      <c r="L54" s="9"/>
      <c r="M54" s="9"/>
      <c r="N54" s="26">
        <f t="shared" si="1"/>
        <v>6847.65</v>
      </c>
      <c r="O54" s="9">
        <v>674.15</v>
      </c>
      <c r="P54" s="9">
        <v>570.88</v>
      </c>
      <c r="Q54" s="9"/>
      <c r="R54" s="9">
        <v>164</v>
      </c>
      <c r="S54" s="9">
        <f t="shared" si="2"/>
        <v>1409.03</v>
      </c>
      <c r="T54" s="9">
        <f t="shared" si="3"/>
        <v>5438.62</v>
      </c>
    </row>
    <row r="55" spans="1:20" x14ac:dyDescent="0.25">
      <c r="A55" s="6" t="s">
        <v>64</v>
      </c>
      <c r="B55" s="7" t="s">
        <v>68</v>
      </c>
      <c r="C55" s="7" t="s">
        <v>96</v>
      </c>
      <c r="D55" s="9">
        <v>3203.09</v>
      </c>
      <c r="E55" s="9"/>
      <c r="F55" s="9"/>
      <c r="G55" s="9"/>
      <c r="H55" s="9">
        <v>500</v>
      </c>
      <c r="I55" s="9">
        <v>164</v>
      </c>
      <c r="J55" s="9">
        <f t="shared" si="0"/>
        <v>664</v>
      </c>
      <c r="K55" s="9"/>
      <c r="L55" s="9"/>
      <c r="M55" s="9"/>
      <c r="N55" s="26">
        <f t="shared" si="1"/>
        <v>3867.09</v>
      </c>
      <c r="O55" s="9">
        <v>72.81</v>
      </c>
      <c r="P55" s="9">
        <v>352.34</v>
      </c>
      <c r="Q55" s="9"/>
      <c r="R55" s="9">
        <v>128.12</v>
      </c>
      <c r="S55" s="9">
        <f t="shared" si="2"/>
        <v>553.27</v>
      </c>
      <c r="T55" s="9">
        <f t="shared" si="3"/>
        <v>3313.82</v>
      </c>
    </row>
    <row r="56" spans="1:20" x14ac:dyDescent="0.25">
      <c r="A56" s="7" t="s">
        <v>65</v>
      </c>
      <c r="B56" s="7" t="s">
        <v>90</v>
      </c>
      <c r="C56" s="7" t="s">
        <v>100</v>
      </c>
      <c r="D56" s="9">
        <v>6183.65</v>
      </c>
      <c r="E56" s="9"/>
      <c r="F56" s="9"/>
      <c r="G56" s="9"/>
      <c r="H56" s="9">
        <v>500</v>
      </c>
      <c r="I56" s="9"/>
      <c r="J56" s="9">
        <f t="shared" si="0"/>
        <v>500</v>
      </c>
      <c r="K56" s="9"/>
      <c r="L56" s="9"/>
      <c r="M56" s="9"/>
      <c r="N56" s="26">
        <f t="shared" si="1"/>
        <v>6683.65</v>
      </c>
      <c r="O56" s="9">
        <v>671.89</v>
      </c>
      <c r="P56" s="9">
        <v>570.88</v>
      </c>
      <c r="Q56" s="9">
        <v>8.24</v>
      </c>
      <c r="R56" s="9"/>
      <c r="S56" s="9">
        <f t="shared" si="2"/>
        <v>1251.01</v>
      </c>
      <c r="T56" s="9">
        <f t="shared" si="3"/>
        <v>5432.6399999999994</v>
      </c>
    </row>
    <row r="57" spans="1:20" hidden="1" x14ac:dyDescent="0.25">
      <c r="A57" s="6" t="s">
        <v>66</v>
      </c>
      <c r="B57" s="7" t="s">
        <v>72</v>
      </c>
      <c r="C57" s="7" t="s">
        <v>102</v>
      </c>
      <c r="D57" s="9">
        <v>1191.76</v>
      </c>
      <c r="E57" s="9"/>
      <c r="F57" s="9"/>
      <c r="G57" s="9"/>
      <c r="H57" s="9">
        <v>500</v>
      </c>
      <c r="I57" s="9">
        <v>260</v>
      </c>
      <c r="J57" s="9">
        <f t="shared" si="0"/>
        <v>760</v>
      </c>
      <c r="K57" s="9"/>
      <c r="L57" s="9"/>
      <c r="M57" s="9"/>
      <c r="N57" s="26">
        <f t="shared" si="1"/>
        <v>1951.76</v>
      </c>
      <c r="O57" s="9"/>
      <c r="P57" s="9"/>
      <c r="Q57" s="9"/>
      <c r="R57" s="9"/>
      <c r="S57" s="9"/>
      <c r="T57" s="9">
        <f t="shared" si="3"/>
        <v>1951.76</v>
      </c>
    </row>
    <row r="58" spans="1:20" x14ac:dyDescent="0.25">
      <c r="A58" s="7" t="s">
        <v>67</v>
      </c>
      <c r="B58" s="7" t="s">
        <v>91</v>
      </c>
      <c r="C58" s="7" t="s">
        <v>95</v>
      </c>
      <c r="D58" s="9">
        <v>1710.94</v>
      </c>
      <c r="E58" s="9"/>
      <c r="F58" s="9"/>
      <c r="G58" s="9"/>
      <c r="H58" s="9">
        <v>225</v>
      </c>
      <c r="I58" s="9"/>
      <c r="J58" s="9">
        <f t="shared" si="0"/>
        <v>225</v>
      </c>
      <c r="K58" s="9"/>
      <c r="L58" s="9"/>
      <c r="M58" s="9"/>
      <c r="N58" s="26">
        <f t="shared" si="1"/>
        <v>1935.94</v>
      </c>
      <c r="O58" s="9"/>
      <c r="P58" s="9">
        <v>153.97999999999999</v>
      </c>
      <c r="Q58" s="9"/>
      <c r="R58" s="9"/>
      <c r="S58" s="9">
        <f t="shared" si="2"/>
        <v>153.97999999999999</v>
      </c>
      <c r="T58" s="9">
        <f t="shared" si="3"/>
        <v>1781.96</v>
      </c>
    </row>
    <row r="59" spans="1:20" hidden="1" x14ac:dyDescent="0.25">
      <c r="H59" s="1">
        <f>SUM(H5:H58)</f>
        <v>23925</v>
      </c>
      <c r="I59" s="1">
        <f>SUM(I5:I58)</f>
        <v>8877.7000000000007</v>
      </c>
      <c r="J59" s="1"/>
      <c r="N59" s="3"/>
      <c r="T59" s="1">
        <f>SUM(T5:T58)</f>
        <v>243230.21000000005</v>
      </c>
    </row>
    <row r="60" spans="1:20" ht="15.75" x14ac:dyDescent="0.25">
      <c r="A60" s="35"/>
      <c r="B60" s="35"/>
      <c r="C60" s="35"/>
      <c r="D60" s="35"/>
      <c r="E60" s="35"/>
      <c r="F60" s="35"/>
      <c r="G60" s="35"/>
      <c r="H60" s="1"/>
      <c r="I60" s="1"/>
      <c r="J60" s="36"/>
      <c r="N60" s="3"/>
      <c r="T60" s="1"/>
    </row>
    <row r="61" spans="1:20" ht="19.5" x14ac:dyDescent="0.3">
      <c r="A61" s="21" t="s">
        <v>108</v>
      </c>
      <c r="N61" s="3"/>
    </row>
    <row r="62" spans="1:20" ht="18" customHeight="1" x14ac:dyDescent="0.25">
      <c r="A62" s="32" t="s">
        <v>0</v>
      </c>
      <c r="B62" s="32" t="s">
        <v>1</v>
      </c>
      <c r="C62" s="32" t="s">
        <v>2</v>
      </c>
      <c r="D62" s="32" t="s">
        <v>111</v>
      </c>
      <c r="E62" s="32" t="s">
        <v>110</v>
      </c>
      <c r="F62" s="32" t="s">
        <v>11</v>
      </c>
      <c r="G62" s="32" t="s">
        <v>12</v>
      </c>
      <c r="H62" s="32" t="s">
        <v>109</v>
      </c>
      <c r="I62" s="32"/>
      <c r="J62" s="32" t="s">
        <v>109</v>
      </c>
      <c r="O62" s="3"/>
    </row>
    <row r="63" spans="1:20" x14ac:dyDescent="0.25">
      <c r="A63" s="6" t="s">
        <v>51</v>
      </c>
      <c r="B63" s="7" t="s">
        <v>68</v>
      </c>
      <c r="C63" s="7" t="s">
        <v>92</v>
      </c>
      <c r="D63" s="9">
        <v>1601.55</v>
      </c>
      <c r="E63" s="9"/>
      <c r="F63" s="9"/>
      <c r="G63" s="9"/>
      <c r="H63" s="9"/>
      <c r="I63" s="9"/>
      <c r="J63" s="9"/>
      <c r="N63" s="3"/>
    </row>
    <row r="64" spans="1:20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x14ac:dyDescent="0.25">
      <c r="N83" s="3"/>
    </row>
    <row r="84" spans="14:14" x14ac:dyDescent="0.25">
      <c r="N84" s="3"/>
    </row>
    <row r="85" spans="14:14" x14ac:dyDescent="0.25">
      <c r="N85" s="3"/>
    </row>
    <row r="86" spans="14:14" x14ac:dyDescent="0.25">
      <c r="N86" s="3"/>
    </row>
    <row r="87" spans="14:14" x14ac:dyDescent="0.25">
      <c r="N87" s="3"/>
    </row>
    <row r="88" spans="14:14" x14ac:dyDescent="0.25">
      <c r="N88" s="3"/>
    </row>
    <row r="89" spans="14:14" x14ac:dyDescent="0.25">
      <c r="N89" s="3"/>
    </row>
    <row r="90" spans="14:14" x14ac:dyDescent="0.25">
      <c r="N90" s="3"/>
    </row>
    <row r="91" spans="14:14" x14ac:dyDescent="0.25">
      <c r="N91" s="3"/>
    </row>
    <row r="92" spans="14:14" x14ac:dyDescent="0.25">
      <c r="N92" s="3"/>
    </row>
    <row r="93" spans="14:14" x14ac:dyDescent="0.25">
      <c r="N93" s="3"/>
    </row>
    <row r="94" spans="14:14" x14ac:dyDescent="0.25">
      <c r="N94" s="3"/>
    </row>
    <row r="95" spans="14:14" x14ac:dyDescent="0.25">
      <c r="N95" s="3"/>
    </row>
    <row r="96" spans="14:14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  <row r="120" spans="14:14" x14ac:dyDescent="0.25">
      <c r="N120" s="3"/>
    </row>
    <row r="121" spans="14:14" x14ac:dyDescent="0.25">
      <c r="N121" s="3"/>
    </row>
    <row r="122" spans="14:14" x14ac:dyDescent="0.25">
      <c r="N122" s="3"/>
    </row>
    <row r="123" spans="14:14" x14ac:dyDescent="0.25">
      <c r="N123" s="3"/>
    </row>
    <row r="124" spans="14:14" x14ac:dyDescent="0.25">
      <c r="N124" s="3"/>
    </row>
    <row r="125" spans="14:14" x14ac:dyDescent="0.25">
      <c r="N125" s="3"/>
    </row>
    <row r="126" spans="14:14" x14ac:dyDescent="0.25">
      <c r="N126" s="3"/>
    </row>
  </sheetData>
  <autoFilter ref="A4:T63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  <filter val="SECRETARIO EXECUTIVO"/>
      </filters>
    </filterColumn>
  </autoFilter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23"/>
  <sheetViews>
    <sheetView showGridLines="0" zoomScale="90" zoomScaleNormal="90" workbookViewId="0">
      <selection activeCell="A8" sqref="A8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5" width="19.4257812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42578125" style="2" customWidth="1"/>
    <col min="15" max="15" width="14" style="2" bestFit="1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18.75" x14ac:dyDescent="0.3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2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/>
      <c r="J4" s="32" t="s">
        <v>118</v>
      </c>
      <c r="K4" s="32" t="s">
        <v>103</v>
      </c>
      <c r="L4" s="32" t="s">
        <v>6</v>
      </c>
      <c r="M4" s="32" t="s">
        <v>8</v>
      </c>
      <c r="N4" s="32" t="s">
        <v>127</v>
      </c>
      <c r="O4" s="32" t="s">
        <v>9</v>
      </c>
      <c r="P4" s="32" t="s">
        <v>10</v>
      </c>
      <c r="Q4" s="32" t="s">
        <v>11</v>
      </c>
      <c r="R4" s="32" t="s">
        <v>12</v>
      </c>
      <c r="S4" s="32" t="s">
        <v>13</v>
      </c>
      <c r="T4" s="32" t="s">
        <v>103</v>
      </c>
      <c r="U4" s="32" t="s">
        <v>14</v>
      </c>
      <c r="V4" s="32" t="s">
        <v>15</v>
      </c>
    </row>
    <row r="5" spans="1:22" x14ac:dyDescent="0.25">
      <c r="A5" s="6" t="s">
        <v>17</v>
      </c>
      <c r="B5" s="7" t="s">
        <v>68</v>
      </c>
      <c r="C5" s="7" t="s">
        <v>92</v>
      </c>
      <c r="D5" s="9">
        <v>2345.3200000000002</v>
      </c>
      <c r="E5" s="9">
        <v>1067.7</v>
      </c>
      <c r="F5" s="9"/>
      <c r="G5" s="9">
        <f>3.6+0.6</f>
        <v>4.2</v>
      </c>
      <c r="H5" s="9">
        <v>325</v>
      </c>
      <c r="I5" s="9">
        <v>65</v>
      </c>
      <c r="J5" s="9"/>
      <c r="K5" s="9">
        <v>260</v>
      </c>
      <c r="L5" s="9">
        <f>H5+J5+K5+I5</f>
        <v>650</v>
      </c>
      <c r="M5" s="9">
        <f>139.95+355.9</f>
        <v>495.84999999999997</v>
      </c>
      <c r="N5" s="9"/>
      <c r="O5" s="9"/>
      <c r="P5" s="9">
        <f>D5+E5+F5+G5+L5+M5+N5+O5</f>
        <v>4563.0700000000006</v>
      </c>
      <c r="Q5" s="9">
        <f>17.32</f>
        <v>17.32</v>
      </c>
      <c r="R5" s="9">
        <f>311.85+113.89</f>
        <v>425.74</v>
      </c>
      <c r="S5" s="9">
        <f>23.45+42.71</f>
        <v>66.16</v>
      </c>
      <c r="T5" s="9">
        <v>91.47</v>
      </c>
      <c r="U5" s="9">
        <f>Q5+R5+S5+T5</f>
        <v>600.69000000000005</v>
      </c>
      <c r="V5" s="9">
        <f>P5-U5</f>
        <v>3962.3800000000006</v>
      </c>
    </row>
    <row r="6" spans="1:22" x14ac:dyDescent="0.25">
      <c r="A6" s="6" t="s">
        <v>18</v>
      </c>
      <c r="B6" s="7" t="s">
        <v>69</v>
      </c>
      <c r="C6" s="7" t="s">
        <v>93</v>
      </c>
      <c r="D6" s="9">
        <v>3517.98</v>
      </c>
      <c r="E6" s="9"/>
      <c r="F6" s="9"/>
      <c r="G6" s="9">
        <f>32.83+40.84+12.28</f>
        <v>85.95</v>
      </c>
      <c r="H6" s="9">
        <v>525</v>
      </c>
      <c r="I6" s="9">
        <v>105</v>
      </c>
      <c r="J6" s="9">
        <v>250</v>
      </c>
      <c r="K6" s="9"/>
      <c r="L6" s="9">
        <f t="shared" ref="L6:L56" si="0">H6+J6+K6+I6</f>
        <v>880</v>
      </c>
      <c r="M6" s="9"/>
      <c r="N6" s="9"/>
      <c r="O6" s="9"/>
      <c r="P6" s="9">
        <f t="shared" ref="P6:P56" si="1">D6+E6+F6+G6+L6+M6+N6+O6</f>
        <v>4483.93</v>
      </c>
      <c r="Q6" s="9">
        <v>69.45</v>
      </c>
      <c r="R6" s="9">
        <v>396.43</v>
      </c>
      <c r="S6" s="9"/>
      <c r="T6" s="9"/>
      <c r="U6" s="9">
        <f t="shared" ref="U6:U56" si="2">Q6+R6+S6+T6</f>
        <v>465.88</v>
      </c>
      <c r="V6" s="9">
        <f t="shared" ref="V6:V56" si="3">P6-U6</f>
        <v>4018.05</v>
      </c>
    </row>
    <row r="7" spans="1:22" x14ac:dyDescent="0.25">
      <c r="A7" s="10" t="s">
        <v>19</v>
      </c>
      <c r="B7" s="11" t="s">
        <v>70</v>
      </c>
      <c r="C7" s="11" t="s">
        <v>94</v>
      </c>
      <c r="D7" s="9">
        <v>12339.48</v>
      </c>
      <c r="E7" s="9"/>
      <c r="F7" s="9"/>
      <c r="G7" s="9"/>
      <c r="H7" s="9">
        <v>525</v>
      </c>
      <c r="I7" s="9">
        <v>105</v>
      </c>
      <c r="J7" s="9"/>
      <c r="K7" s="9"/>
      <c r="L7" s="9">
        <f t="shared" si="0"/>
        <v>630</v>
      </c>
      <c r="M7" s="9"/>
      <c r="N7" s="9"/>
      <c r="O7" s="9"/>
      <c r="P7" s="9">
        <f t="shared" si="1"/>
        <v>12969.48</v>
      </c>
      <c r="Q7" s="9">
        <v>2314.87</v>
      </c>
      <c r="R7" s="9">
        <v>570.88</v>
      </c>
      <c r="S7" s="9"/>
      <c r="T7" s="9"/>
      <c r="U7" s="9">
        <f t="shared" si="2"/>
        <v>2885.75</v>
      </c>
      <c r="V7" s="9">
        <f t="shared" si="3"/>
        <v>10083.73</v>
      </c>
    </row>
    <row r="8" spans="1:22" x14ac:dyDescent="0.25">
      <c r="A8" s="10" t="s">
        <v>20</v>
      </c>
      <c r="B8" s="11" t="s">
        <v>71</v>
      </c>
      <c r="C8" s="11" t="s">
        <v>95</v>
      </c>
      <c r="D8" s="9">
        <v>5149.7299999999996</v>
      </c>
      <c r="E8" s="9"/>
      <c r="F8" s="9"/>
      <c r="G8" s="19">
        <f>283.24+47.21</f>
        <v>330.45</v>
      </c>
      <c r="H8" s="9">
        <v>525</v>
      </c>
      <c r="I8" s="9">
        <v>105</v>
      </c>
      <c r="J8" s="9"/>
      <c r="K8" s="9">
        <v>159.6</v>
      </c>
      <c r="L8" s="9">
        <f t="shared" si="0"/>
        <v>789.6</v>
      </c>
      <c r="M8" s="9"/>
      <c r="N8" s="9"/>
      <c r="O8" s="9"/>
      <c r="P8" s="9">
        <f t="shared" si="1"/>
        <v>6269.78</v>
      </c>
      <c r="Q8" s="9">
        <v>383.15</v>
      </c>
      <c r="R8" s="9">
        <v>570.88</v>
      </c>
      <c r="S8" s="9"/>
      <c r="T8" s="9">
        <v>159.6</v>
      </c>
      <c r="U8" s="9">
        <f t="shared" si="2"/>
        <v>1113.6299999999999</v>
      </c>
      <c r="V8" s="9">
        <f t="shared" si="3"/>
        <v>5156.1499999999996</v>
      </c>
    </row>
    <row r="9" spans="1:22" x14ac:dyDescent="0.25">
      <c r="A9" s="7" t="s">
        <v>22</v>
      </c>
      <c r="B9" s="7" t="s">
        <v>68</v>
      </c>
      <c r="C9" s="7" t="s">
        <v>92</v>
      </c>
      <c r="D9" s="9">
        <v>3517.98</v>
      </c>
      <c r="E9" s="9"/>
      <c r="F9" s="9"/>
      <c r="G9" s="9">
        <f>44.04+7.34</f>
        <v>51.379999999999995</v>
      </c>
      <c r="H9" s="9">
        <v>525</v>
      </c>
      <c r="I9" s="9">
        <v>105</v>
      </c>
      <c r="J9" s="9"/>
      <c r="K9" s="9">
        <v>273</v>
      </c>
      <c r="L9" s="9">
        <f t="shared" si="0"/>
        <v>903</v>
      </c>
      <c r="M9" s="9"/>
      <c r="N9" s="9"/>
      <c r="O9" s="9"/>
      <c r="P9" s="9">
        <f t="shared" si="1"/>
        <v>4472.3600000000006</v>
      </c>
      <c r="Q9" s="9">
        <v>90.42</v>
      </c>
      <c r="R9" s="9">
        <v>390.28</v>
      </c>
      <c r="S9" s="9">
        <f>35.18+21.35</f>
        <v>56.53</v>
      </c>
      <c r="T9" s="9">
        <v>147.76</v>
      </c>
      <c r="U9" s="9">
        <f t="shared" si="2"/>
        <v>684.99</v>
      </c>
      <c r="V9" s="9">
        <f t="shared" si="3"/>
        <v>3787.3700000000008</v>
      </c>
    </row>
    <row r="10" spans="1:22" x14ac:dyDescent="0.25">
      <c r="A10" s="6" t="s">
        <v>23</v>
      </c>
      <c r="B10" s="7" t="s">
        <v>68</v>
      </c>
      <c r="C10" s="7" t="s">
        <v>96</v>
      </c>
      <c r="D10" s="9">
        <v>3517.98</v>
      </c>
      <c r="E10" s="9"/>
      <c r="F10" s="9"/>
      <c r="G10" s="9"/>
      <c r="H10" s="9">
        <v>525</v>
      </c>
      <c r="I10" s="9">
        <v>105</v>
      </c>
      <c r="J10" s="9"/>
      <c r="K10" s="9">
        <v>159.6</v>
      </c>
      <c r="L10" s="9">
        <f t="shared" si="0"/>
        <v>789.6</v>
      </c>
      <c r="M10" s="9"/>
      <c r="N10" s="9"/>
      <c r="O10" s="9"/>
      <c r="P10" s="9">
        <f t="shared" si="1"/>
        <v>4307.58</v>
      </c>
      <c r="Q10" s="9">
        <v>108.47</v>
      </c>
      <c r="R10" s="9">
        <v>381.72</v>
      </c>
      <c r="S10" s="9">
        <f>20.02+27.76+35.18</f>
        <v>82.960000000000008</v>
      </c>
      <c r="T10" s="9">
        <v>147.76</v>
      </c>
      <c r="U10" s="9">
        <f t="shared" si="2"/>
        <v>720.91000000000008</v>
      </c>
      <c r="V10" s="9">
        <f t="shared" si="3"/>
        <v>3586.67</v>
      </c>
    </row>
    <row r="11" spans="1:22" hidden="1" x14ac:dyDescent="0.25">
      <c r="A11" s="6" t="s">
        <v>24</v>
      </c>
      <c r="B11" s="7" t="s">
        <v>72</v>
      </c>
      <c r="C11" s="7" t="s">
        <v>97</v>
      </c>
      <c r="D11" s="9">
        <v>1308.92</v>
      </c>
      <c r="E11" s="9"/>
      <c r="F11" s="9"/>
      <c r="G11" s="9"/>
      <c r="H11" s="9">
        <v>525</v>
      </c>
      <c r="I11" s="9">
        <v>105</v>
      </c>
      <c r="J11" s="9"/>
      <c r="K11" s="9">
        <v>331.8</v>
      </c>
      <c r="L11" s="9">
        <f t="shared" si="0"/>
        <v>961.8</v>
      </c>
      <c r="M11" s="9"/>
      <c r="N11" s="9"/>
      <c r="O11" s="9"/>
      <c r="P11" s="9">
        <f t="shared" si="1"/>
        <v>2270.7200000000003</v>
      </c>
      <c r="Q11" s="9"/>
      <c r="R11" s="9"/>
      <c r="S11" s="9"/>
      <c r="T11" s="9"/>
      <c r="U11" s="9">
        <f t="shared" si="2"/>
        <v>0</v>
      </c>
      <c r="V11" s="9">
        <f t="shared" si="3"/>
        <v>2270.7200000000003</v>
      </c>
    </row>
    <row r="12" spans="1:22" x14ac:dyDescent="0.25">
      <c r="A12" s="7" t="s">
        <v>25</v>
      </c>
      <c r="B12" s="7" t="s">
        <v>73</v>
      </c>
      <c r="C12" s="7" t="s">
        <v>98</v>
      </c>
      <c r="D12" s="9">
        <v>8142.93</v>
      </c>
      <c r="E12" s="9">
        <v>1140.6300000000001</v>
      </c>
      <c r="F12" s="9"/>
      <c r="G12" s="9"/>
      <c r="H12" s="9">
        <v>450</v>
      </c>
      <c r="I12" s="9">
        <v>90</v>
      </c>
      <c r="J12" s="9"/>
      <c r="K12" s="9"/>
      <c r="L12" s="9">
        <f t="shared" si="0"/>
        <v>540</v>
      </c>
      <c r="M12" s="12">
        <f>149.51+380.21</f>
        <v>529.72</v>
      </c>
      <c r="N12" s="9"/>
      <c r="O12" s="9"/>
      <c r="P12" s="9">
        <f t="shared" si="1"/>
        <v>10353.280000000001</v>
      </c>
      <c r="Q12" s="9">
        <v>1287.53</v>
      </c>
      <c r="R12" s="9">
        <f>449.21+121.67</f>
        <v>570.88</v>
      </c>
      <c r="S12" s="9"/>
      <c r="T12" s="9"/>
      <c r="U12" s="9">
        <f t="shared" si="2"/>
        <v>1858.4099999999999</v>
      </c>
      <c r="V12" s="9">
        <f t="shared" si="3"/>
        <v>8494.8700000000008</v>
      </c>
    </row>
    <row r="13" spans="1:22" x14ac:dyDescent="0.25">
      <c r="A13" s="7" t="s">
        <v>26</v>
      </c>
      <c r="B13" s="7" t="s">
        <v>68</v>
      </c>
      <c r="C13" s="7" t="s">
        <v>96</v>
      </c>
      <c r="D13" s="9">
        <v>3517.98</v>
      </c>
      <c r="E13" s="9"/>
      <c r="F13" s="9"/>
      <c r="G13" s="9">
        <f>32.03+5.34</f>
        <v>37.370000000000005</v>
      </c>
      <c r="H13" s="9">
        <v>525</v>
      </c>
      <c r="I13" s="9">
        <v>105</v>
      </c>
      <c r="J13" s="9"/>
      <c r="K13" s="9">
        <v>331.8</v>
      </c>
      <c r="L13" s="9">
        <f t="shared" si="0"/>
        <v>961.8</v>
      </c>
      <c r="M13" s="9"/>
      <c r="N13" s="9"/>
      <c r="O13" s="9"/>
      <c r="P13" s="9">
        <f t="shared" si="1"/>
        <v>4517.1499999999996</v>
      </c>
      <c r="Q13" s="9">
        <v>119.84</v>
      </c>
      <c r="R13" s="9">
        <v>391.09</v>
      </c>
      <c r="S13" s="9"/>
      <c r="T13" s="9">
        <v>147.76</v>
      </c>
      <c r="U13" s="9">
        <f t="shared" si="2"/>
        <v>658.68999999999994</v>
      </c>
      <c r="V13" s="9">
        <f t="shared" si="3"/>
        <v>3858.4599999999996</v>
      </c>
    </row>
    <row r="14" spans="1:22" x14ac:dyDescent="0.25">
      <c r="A14" s="13" t="s">
        <v>27</v>
      </c>
      <c r="B14" s="14" t="s">
        <v>74</v>
      </c>
      <c r="C14" s="14" t="s">
        <v>99</v>
      </c>
      <c r="D14" s="9">
        <v>9395.69</v>
      </c>
      <c r="E14" s="9"/>
      <c r="F14" s="9"/>
      <c r="G14" s="9"/>
      <c r="H14" s="9">
        <v>425</v>
      </c>
      <c r="I14" s="9">
        <v>85</v>
      </c>
      <c r="J14" s="9"/>
      <c r="K14" s="9">
        <v>139.4</v>
      </c>
      <c r="L14" s="9">
        <f t="shared" si="0"/>
        <v>649.4</v>
      </c>
      <c r="M14" s="9"/>
      <c r="N14" s="9"/>
      <c r="O14" s="9"/>
      <c r="P14" s="9">
        <f t="shared" si="1"/>
        <v>10045.09</v>
      </c>
      <c r="Q14" s="9">
        <v>1557.46</v>
      </c>
      <c r="R14" s="9">
        <v>570.88</v>
      </c>
      <c r="S14" s="9"/>
      <c r="T14" s="9">
        <v>139.4</v>
      </c>
      <c r="U14" s="9">
        <f t="shared" si="2"/>
        <v>2267.7400000000002</v>
      </c>
      <c r="V14" s="9">
        <f t="shared" si="3"/>
        <v>7777.35</v>
      </c>
    </row>
    <row r="15" spans="1:22" hidden="1" x14ac:dyDescent="0.25">
      <c r="A15" s="7" t="s">
        <v>28</v>
      </c>
      <c r="B15" s="7" t="s">
        <v>72</v>
      </c>
      <c r="C15" s="7" t="s">
        <v>100</v>
      </c>
      <c r="D15" s="9">
        <v>1308.92</v>
      </c>
      <c r="E15" s="9"/>
      <c r="F15" s="9"/>
      <c r="G15" s="9"/>
      <c r="H15" s="9">
        <v>525</v>
      </c>
      <c r="I15" s="9">
        <v>105</v>
      </c>
      <c r="J15" s="9"/>
      <c r="K15" s="19">
        <v>390</v>
      </c>
      <c r="L15" s="9">
        <f t="shared" si="0"/>
        <v>1020</v>
      </c>
      <c r="M15" s="9"/>
      <c r="N15" s="9"/>
      <c r="O15" s="9"/>
      <c r="P15" s="9">
        <f t="shared" si="1"/>
        <v>2328.92</v>
      </c>
      <c r="Q15" s="9"/>
      <c r="R15" s="9"/>
      <c r="S15" s="9"/>
      <c r="T15" s="9"/>
      <c r="U15" s="9"/>
      <c r="V15" s="9">
        <f t="shared" si="3"/>
        <v>2328.92</v>
      </c>
    </row>
    <row r="16" spans="1:22" x14ac:dyDescent="0.25">
      <c r="A16" s="13" t="s">
        <v>117</v>
      </c>
      <c r="B16" s="15" t="s">
        <v>75</v>
      </c>
      <c r="C16" s="15" t="s">
        <v>95</v>
      </c>
      <c r="D16" s="9"/>
      <c r="E16" s="9"/>
      <c r="F16" s="9"/>
      <c r="G16" s="9"/>
      <c r="H16" s="9"/>
      <c r="I16" s="9"/>
      <c r="J16" s="9"/>
      <c r="K16" s="9"/>
      <c r="L16" s="9">
        <f t="shared" si="0"/>
        <v>0</v>
      </c>
      <c r="M16" s="9"/>
      <c r="N16" s="9"/>
      <c r="O16" s="9">
        <f>4940.52+485.69</f>
        <v>5426.21</v>
      </c>
      <c r="P16" s="9">
        <f t="shared" si="1"/>
        <v>5426.21</v>
      </c>
      <c r="Q16" s="9">
        <f>437.15+133.56</f>
        <v>570.71</v>
      </c>
      <c r="R16" s="9"/>
      <c r="S16" s="9"/>
      <c r="T16" s="9"/>
      <c r="U16" s="9">
        <f t="shared" si="2"/>
        <v>570.71</v>
      </c>
      <c r="V16" s="9">
        <f t="shared" si="3"/>
        <v>4855.5</v>
      </c>
    </row>
    <row r="17" spans="1:22" x14ac:dyDescent="0.25">
      <c r="A17" s="6" t="s">
        <v>29</v>
      </c>
      <c r="B17" s="7" t="s">
        <v>68</v>
      </c>
      <c r="C17" s="7" t="s">
        <v>92</v>
      </c>
      <c r="D17" s="9">
        <v>3517.98</v>
      </c>
      <c r="E17" s="9"/>
      <c r="F17" s="9"/>
      <c r="G17" s="9">
        <f>8.01+9.61+2.94</f>
        <v>20.56</v>
      </c>
      <c r="H17" s="9">
        <v>525</v>
      </c>
      <c r="I17" s="9">
        <v>105</v>
      </c>
      <c r="J17" s="9"/>
      <c r="K17" s="9">
        <v>331.8</v>
      </c>
      <c r="L17" s="9">
        <f t="shared" si="0"/>
        <v>961.8</v>
      </c>
      <c r="M17" s="9"/>
      <c r="N17" s="9"/>
      <c r="O17" s="9"/>
      <c r="P17" s="9">
        <f t="shared" si="1"/>
        <v>4500.34</v>
      </c>
      <c r="Q17" s="9">
        <v>117.6</v>
      </c>
      <c r="R17" s="9">
        <v>389.24</v>
      </c>
      <c r="S17" s="9">
        <v>35.18</v>
      </c>
      <c r="T17" s="9">
        <v>147.76</v>
      </c>
      <c r="U17" s="9">
        <f t="shared" si="2"/>
        <v>689.78</v>
      </c>
      <c r="V17" s="9">
        <f t="shared" si="3"/>
        <v>3810.5600000000004</v>
      </c>
    </row>
    <row r="18" spans="1:22" x14ac:dyDescent="0.25">
      <c r="A18" s="6" t="s">
        <v>30</v>
      </c>
      <c r="B18" s="7" t="s">
        <v>76</v>
      </c>
      <c r="C18" s="7" t="s">
        <v>97</v>
      </c>
      <c r="D18" s="9">
        <v>3754.86</v>
      </c>
      <c r="E18" s="9">
        <v>3907.16</v>
      </c>
      <c r="F18" s="9"/>
      <c r="G18" s="9"/>
      <c r="H18" s="9">
        <v>250</v>
      </c>
      <c r="I18" s="9">
        <v>50</v>
      </c>
      <c r="J18" s="9"/>
      <c r="K18" s="9">
        <v>82</v>
      </c>
      <c r="L18" s="9">
        <f t="shared" si="0"/>
        <v>382</v>
      </c>
      <c r="M18" s="9">
        <f>640.18+1302.38</f>
        <v>1942.56</v>
      </c>
      <c r="N18" s="9"/>
      <c r="O18" s="9"/>
      <c r="P18" s="9">
        <f t="shared" si="1"/>
        <v>9986.58</v>
      </c>
      <c r="Q18" s="9">
        <f>351.79+764.43</f>
        <v>1116.22</v>
      </c>
      <c r="R18" s="19">
        <v>570.88</v>
      </c>
      <c r="S18" s="9">
        <v>4.2699999999999996</v>
      </c>
      <c r="T18" s="9">
        <v>82</v>
      </c>
      <c r="U18" s="9">
        <f t="shared" si="2"/>
        <v>1773.37</v>
      </c>
      <c r="V18" s="9">
        <f t="shared" si="3"/>
        <v>8213.2099999999991</v>
      </c>
    </row>
    <row r="19" spans="1:22" x14ac:dyDescent="0.25">
      <c r="A19" s="6" t="s">
        <v>31</v>
      </c>
      <c r="B19" s="7" t="s">
        <v>77</v>
      </c>
      <c r="C19" s="7" t="s">
        <v>96</v>
      </c>
      <c r="D19" s="9">
        <v>8046.12</v>
      </c>
      <c r="E19" s="9"/>
      <c r="F19" s="9"/>
      <c r="G19" s="9"/>
      <c r="H19" s="9">
        <v>525</v>
      </c>
      <c r="I19" s="9">
        <v>105</v>
      </c>
      <c r="J19" s="9"/>
      <c r="K19" s="9"/>
      <c r="L19" s="9">
        <f t="shared" si="0"/>
        <v>630</v>
      </c>
      <c r="M19" s="9"/>
      <c r="N19" s="9"/>
      <c r="O19" s="9"/>
      <c r="P19" s="9">
        <f t="shared" si="1"/>
        <v>8676.119999999999</v>
      </c>
      <c r="Q19" s="9">
        <v>1186.33</v>
      </c>
      <c r="R19" s="9">
        <v>570.88</v>
      </c>
      <c r="S19" s="9"/>
      <c r="T19" s="9"/>
      <c r="U19" s="9">
        <f t="shared" si="2"/>
        <v>1757.21</v>
      </c>
      <c r="V19" s="9">
        <f t="shared" si="3"/>
        <v>6918.9099999999989</v>
      </c>
    </row>
    <row r="20" spans="1:22" x14ac:dyDescent="0.25">
      <c r="A20" s="6" t="s">
        <v>32</v>
      </c>
      <c r="B20" s="7" t="s">
        <v>78</v>
      </c>
      <c r="C20" s="7" t="s">
        <v>100</v>
      </c>
      <c r="D20" s="9">
        <v>12339.48</v>
      </c>
      <c r="E20" s="9"/>
      <c r="F20" s="9"/>
      <c r="G20" s="9"/>
      <c r="H20" s="9">
        <v>525</v>
      </c>
      <c r="I20" s="9">
        <v>105</v>
      </c>
      <c r="J20" s="9"/>
      <c r="K20" s="9"/>
      <c r="L20" s="9">
        <f t="shared" si="0"/>
        <v>630</v>
      </c>
      <c r="M20" s="9"/>
      <c r="N20" s="9"/>
      <c r="O20" s="9"/>
      <c r="P20" s="9">
        <f t="shared" si="1"/>
        <v>12969.48</v>
      </c>
      <c r="Q20" s="9">
        <v>2367.0100000000002</v>
      </c>
      <c r="R20" s="9">
        <v>570.88</v>
      </c>
      <c r="S20" s="9"/>
      <c r="T20" s="9"/>
      <c r="U20" s="9">
        <f t="shared" si="2"/>
        <v>2937.8900000000003</v>
      </c>
      <c r="V20" s="9">
        <f t="shared" si="3"/>
        <v>10031.59</v>
      </c>
    </row>
    <row r="21" spans="1:22" hidden="1" x14ac:dyDescent="0.25">
      <c r="A21" s="6" t="s">
        <v>33</v>
      </c>
      <c r="B21" s="7" t="s">
        <v>72</v>
      </c>
      <c r="C21" s="7" t="s">
        <v>100</v>
      </c>
      <c r="D21" s="9">
        <v>1308.92</v>
      </c>
      <c r="E21" s="9"/>
      <c r="F21" s="9"/>
      <c r="G21" s="9"/>
      <c r="H21" s="9">
        <v>250</v>
      </c>
      <c r="I21" s="9">
        <v>50</v>
      </c>
      <c r="J21" s="9"/>
      <c r="K21" s="9">
        <v>82</v>
      </c>
      <c r="L21" s="9">
        <f t="shared" si="0"/>
        <v>382</v>
      </c>
      <c r="M21" s="9"/>
      <c r="N21" s="9"/>
      <c r="O21" s="9"/>
      <c r="P21" s="9">
        <f t="shared" si="1"/>
        <v>1690.92</v>
      </c>
      <c r="Q21" s="9"/>
      <c r="R21" s="9"/>
      <c r="S21" s="9"/>
      <c r="T21" s="9"/>
      <c r="U21" s="9"/>
      <c r="V21" s="9">
        <f t="shared" si="3"/>
        <v>1690.92</v>
      </c>
    </row>
    <row r="22" spans="1:22" x14ac:dyDescent="0.25">
      <c r="A22" s="6" t="s">
        <v>34</v>
      </c>
      <c r="B22" s="16" t="s">
        <v>79</v>
      </c>
      <c r="C22" s="7" t="s">
        <v>96</v>
      </c>
      <c r="D22" s="9">
        <v>11516.85</v>
      </c>
      <c r="E22" s="9">
        <v>749</v>
      </c>
      <c r="F22" s="9"/>
      <c r="G22" s="9"/>
      <c r="H22" s="9">
        <v>525</v>
      </c>
      <c r="I22" s="9">
        <v>105</v>
      </c>
      <c r="J22" s="9"/>
      <c r="K22" s="9">
        <v>273</v>
      </c>
      <c r="L22" s="9">
        <f t="shared" si="0"/>
        <v>903</v>
      </c>
      <c r="M22" s="9">
        <f>249.67</f>
        <v>249.67</v>
      </c>
      <c r="N22" s="19">
        <v>374.5</v>
      </c>
      <c r="O22" s="9"/>
      <c r="P22" s="9">
        <f t="shared" si="1"/>
        <v>13793.02</v>
      </c>
      <c r="Q22" s="9">
        <f>2162.75+621.45</f>
        <v>2784.2</v>
      </c>
      <c r="R22" s="9">
        <f>490.99+79.89</f>
        <v>570.88</v>
      </c>
      <c r="S22" s="9"/>
      <c r="T22" s="9">
        <v>273</v>
      </c>
      <c r="U22" s="9">
        <f t="shared" si="2"/>
        <v>3628.08</v>
      </c>
      <c r="V22" s="9">
        <f t="shared" si="3"/>
        <v>10164.94</v>
      </c>
    </row>
    <row r="23" spans="1:22" x14ac:dyDescent="0.25">
      <c r="A23" s="6" t="s">
        <v>35</v>
      </c>
      <c r="B23" s="7" t="s">
        <v>80</v>
      </c>
      <c r="C23" s="7" t="s">
        <v>101</v>
      </c>
      <c r="D23" s="9">
        <v>3517.98</v>
      </c>
      <c r="E23" s="9"/>
      <c r="F23" s="9"/>
      <c r="G23" s="9">
        <f>42.04+7.01</f>
        <v>49.05</v>
      </c>
      <c r="H23" s="9">
        <v>525</v>
      </c>
      <c r="I23" s="9">
        <v>105</v>
      </c>
      <c r="J23" s="9"/>
      <c r="K23" s="9"/>
      <c r="L23" s="9">
        <f t="shared" si="0"/>
        <v>630</v>
      </c>
      <c r="M23" s="9"/>
      <c r="N23" s="9"/>
      <c r="O23" s="9"/>
      <c r="P23" s="9">
        <f t="shared" si="1"/>
        <v>4197.0300000000007</v>
      </c>
      <c r="Q23" s="9">
        <v>112.1</v>
      </c>
      <c r="R23" s="9">
        <v>384.71</v>
      </c>
      <c r="S23" s="9">
        <f>37.1+32.56</f>
        <v>69.66</v>
      </c>
      <c r="T23" s="9"/>
      <c r="U23" s="9">
        <f>Q23+R23+S23+T23</f>
        <v>566.46999999999991</v>
      </c>
      <c r="V23" s="9">
        <f t="shared" si="3"/>
        <v>3630.5600000000009</v>
      </c>
    </row>
    <row r="24" spans="1:22" x14ac:dyDescent="0.25">
      <c r="A24" s="6" t="s">
        <v>36</v>
      </c>
      <c r="B24" s="7" t="s">
        <v>68</v>
      </c>
      <c r="C24" s="7" t="s">
        <v>92</v>
      </c>
      <c r="D24" s="9">
        <v>3517.98</v>
      </c>
      <c r="E24" s="9"/>
      <c r="F24" s="9"/>
      <c r="G24" s="9">
        <f>14.41+2.4</f>
        <v>16.809999999999999</v>
      </c>
      <c r="H24" s="9">
        <v>525</v>
      </c>
      <c r="I24" s="9">
        <v>105</v>
      </c>
      <c r="J24" s="9"/>
      <c r="K24" s="9"/>
      <c r="L24" s="9">
        <f t="shared" si="0"/>
        <v>630</v>
      </c>
      <c r="M24" s="9"/>
      <c r="N24" s="9"/>
      <c r="O24" s="9"/>
      <c r="P24" s="9">
        <f t="shared" si="1"/>
        <v>4164.79</v>
      </c>
      <c r="Q24" s="9">
        <v>102.84</v>
      </c>
      <c r="R24" s="9">
        <v>377.08</v>
      </c>
      <c r="S24" s="9">
        <f>11.21+95.56</f>
        <v>106.77000000000001</v>
      </c>
      <c r="T24" s="9"/>
      <c r="U24" s="9">
        <f t="shared" si="2"/>
        <v>586.68999999999994</v>
      </c>
      <c r="V24" s="9">
        <f t="shared" si="3"/>
        <v>3578.1</v>
      </c>
    </row>
    <row r="25" spans="1:22" x14ac:dyDescent="0.25">
      <c r="A25" s="6" t="s">
        <v>37</v>
      </c>
      <c r="B25" s="7" t="s">
        <v>77</v>
      </c>
      <c r="C25" s="7" t="s">
        <v>96</v>
      </c>
      <c r="D25" s="9">
        <v>8046.12</v>
      </c>
      <c r="E25" s="9"/>
      <c r="F25" s="9"/>
      <c r="G25" s="9"/>
      <c r="H25" s="9">
        <v>525</v>
      </c>
      <c r="I25" s="9">
        <v>105</v>
      </c>
      <c r="J25" s="9"/>
      <c r="K25" s="9"/>
      <c r="L25" s="9">
        <f t="shared" si="0"/>
        <v>630</v>
      </c>
      <c r="M25" s="9"/>
      <c r="N25" s="9"/>
      <c r="O25" s="9"/>
      <c r="P25" s="9">
        <f t="shared" si="1"/>
        <v>8676.119999999999</v>
      </c>
      <c r="Q25" s="9">
        <v>1186.33</v>
      </c>
      <c r="R25" s="9">
        <v>570.88</v>
      </c>
      <c r="S25" s="9"/>
      <c r="T25" s="9"/>
      <c r="U25" s="9">
        <f t="shared" si="2"/>
        <v>1757.21</v>
      </c>
      <c r="V25" s="9">
        <f t="shared" si="3"/>
        <v>6918.9099999999989</v>
      </c>
    </row>
    <row r="26" spans="1:22" x14ac:dyDescent="0.25">
      <c r="A26" s="6" t="s">
        <v>38</v>
      </c>
      <c r="B26" s="17" t="s">
        <v>81</v>
      </c>
      <c r="C26" s="7" t="s">
        <v>98</v>
      </c>
      <c r="D26" s="9">
        <v>1358.31</v>
      </c>
      <c r="E26" s="9"/>
      <c r="F26" s="9"/>
      <c r="G26" s="9"/>
      <c r="H26" s="9"/>
      <c r="I26" s="9">
        <v>120</v>
      </c>
      <c r="J26" s="9"/>
      <c r="K26" s="9"/>
      <c r="L26" s="9">
        <f t="shared" si="0"/>
        <v>120</v>
      </c>
      <c r="M26" s="9"/>
      <c r="N26" s="9"/>
      <c r="O26" s="9"/>
      <c r="P26" s="9">
        <f t="shared" si="1"/>
        <v>1478.31</v>
      </c>
      <c r="Q26" s="9"/>
      <c r="R26" s="9">
        <v>108.66</v>
      </c>
      <c r="S26" s="9"/>
      <c r="T26" s="9"/>
      <c r="U26" s="9">
        <f t="shared" si="2"/>
        <v>108.66</v>
      </c>
      <c r="V26" s="9">
        <f t="shared" si="3"/>
        <v>1369.6499999999999</v>
      </c>
    </row>
    <row r="27" spans="1:22" hidden="1" x14ac:dyDescent="0.25">
      <c r="A27" s="6" t="s">
        <v>39</v>
      </c>
      <c r="B27" s="7" t="s">
        <v>72</v>
      </c>
      <c r="C27" s="7" t="s">
        <v>106</v>
      </c>
      <c r="D27" s="9">
        <v>1308.92</v>
      </c>
      <c r="E27" s="9"/>
      <c r="F27" s="9"/>
      <c r="G27" s="9"/>
      <c r="H27" s="9">
        <f>275+525</f>
        <v>800</v>
      </c>
      <c r="I27" s="9">
        <v>100</v>
      </c>
      <c r="J27" s="9"/>
      <c r="K27" s="9">
        <f>273+143</f>
        <v>416</v>
      </c>
      <c r="L27" s="9">
        <f t="shared" si="0"/>
        <v>1316</v>
      </c>
      <c r="M27" s="9"/>
      <c r="N27" s="9"/>
      <c r="O27" s="9"/>
      <c r="P27" s="9">
        <f t="shared" si="1"/>
        <v>2624.92</v>
      </c>
      <c r="Q27" s="9"/>
      <c r="R27" s="9"/>
      <c r="S27" s="9"/>
      <c r="T27" s="9"/>
      <c r="U27" s="9"/>
      <c r="V27" s="9">
        <f t="shared" si="3"/>
        <v>2624.92</v>
      </c>
    </row>
    <row r="28" spans="1:22" x14ac:dyDescent="0.25">
      <c r="A28" s="13" t="s">
        <v>40</v>
      </c>
      <c r="B28" s="15" t="s">
        <v>69</v>
      </c>
      <c r="C28" s="7" t="s">
        <v>100</v>
      </c>
      <c r="D28" s="9">
        <v>3517.98</v>
      </c>
      <c r="E28" s="9"/>
      <c r="F28" s="9"/>
      <c r="G28" s="9"/>
      <c r="H28" s="9">
        <v>525</v>
      </c>
      <c r="I28" s="9">
        <v>105</v>
      </c>
      <c r="J28" s="9"/>
      <c r="K28" s="9">
        <v>273</v>
      </c>
      <c r="L28" s="9">
        <f t="shared" si="0"/>
        <v>903</v>
      </c>
      <c r="M28" s="9"/>
      <c r="N28" s="9"/>
      <c r="O28" s="9"/>
      <c r="P28" s="9">
        <f t="shared" si="1"/>
        <v>4420.9799999999996</v>
      </c>
      <c r="Q28" s="9">
        <v>114.85</v>
      </c>
      <c r="R28" s="9">
        <v>386.98</v>
      </c>
      <c r="S28" s="9"/>
      <c r="T28" s="9">
        <v>147.76</v>
      </c>
      <c r="U28" s="9">
        <f t="shared" si="2"/>
        <v>649.59</v>
      </c>
      <c r="V28" s="9">
        <f t="shared" si="3"/>
        <v>3771.3899999999994</v>
      </c>
    </row>
    <row r="29" spans="1:22" x14ac:dyDescent="0.25">
      <c r="A29" s="6" t="s">
        <v>41</v>
      </c>
      <c r="B29" s="7" t="s">
        <v>77</v>
      </c>
      <c r="C29" s="7" t="s">
        <v>96</v>
      </c>
      <c r="D29" s="9">
        <v>4023.06</v>
      </c>
      <c r="E29" s="9">
        <v>3662.97</v>
      </c>
      <c r="F29" s="9"/>
      <c r="G29" s="9"/>
      <c r="H29" s="9">
        <v>250</v>
      </c>
      <c r="I29" s="9">
        <v>50</v>
      </c>
      <c r="J29" s="9"/>
      <c r="K29" s="9"/>
      <c r="L29" s="9">
        <f t="shared" si="0"/>
        <v>300</v>
      </c>
      <c r="M29" s="9">
        <f>480.12+1220.99</f>
        <v>1701.1100000000001</v>
      </c>
      <c r="N29" s="9"/>
      <c r="O29" s="9"/>
      <c r="P29" s="9">
        <f t="shared" si="1"/>
        <v>9687.14</v>
      </c>
      <c r="Q29" s="9">
        <v>369.52</v>
      </c>
      <c r="R29" s="9">
        <f>33.64+537.24</f>
        <v>570.88</v>
      </c>
      <c r="S29" s="9"/>
      <c r="T29" s="9"/>
      <c r="U29" s="9">
        <f t="shared" si="2"/>
        <v>940.4</v>
      </c>
      <c r="V29" s="9">
        <f t="shared" si="3"/>
        <v>8746.74</v>
      </c>
    </row>
    <row r="30" spans="1:22" x14ac:dyDescent="0.25">
      <c r="A30" s="6" t="s">
        <v>42</v>
      </c>
      <c r="B30" s="7" t="s">
        <v>69</v>
      </c>
      <c r="C30" s="7" t="s">
        <v>100</v>
      </c>
      <c r="D30" s="9">
        <v>3517.98</v>
      </c>
      <c r="E30" s="9"/>
      <c r="F30" s="9"/>
      <c r="G30" s="9"/>
      <c r="H30" s="9">
        <v>525</v>
      </c>
      <c r="I30" s="9">
        <v>105</v>
      </c>
      <c r="J30" s="9">
        <v>250</v>
      </c>
      <c r="K30" s="9">
        <v>273</v>
      </c>
      <c r="L30" s="9">
        <f t="shared" si="0"/>
        <v>1153</v>
      </c>
      <c r="M30" s="9"/>
      <c r="N30" s="9"/>
      <c r="O30" s="9"/>
      <c r="P30" s="9">
        <f t="shared" si="1"/>
        <v>4670.9799999999996</v>
      </c>
      <c r="Q30" s="9">
        <f>114.6+341.88</f>
        <v>456.48</v>
      </c>
      <c r="R30" s="9">
        <v>386.77</v>
      </c>
      <c r="S30" s="9">
        <v>1.87</v>
      </c>
      <c r="T30" s="9">
        <v>147.76</v>
      </c>
      <c r="U30" s="9">
        <f t="shared" si="2"/>
        <v>992.88</v>
      </c>
      <c r="V30" s="9">
        <f t="shared" si="3"/>
        <v>3678.0999999999995</v>
      </c>
    </row>
    <row r="31" spans="1:22" x14ac:dyDescent="0.25">
      <c r="A31" s="6" t="s">
        <v>43</v>
      </c>
      <c r="B31" s="7" t="s">
        <v>76</v>
      </c>
      <c r="C31" s="7" t="s">
        <v>97</v>
      </c>
      <c r="D31" s="9">
        <v>8046.12</v>
      </c>
      <c r="E31" s="12"/>
      <c r="F31" s="9"/>
      <c r="G31" s="9"/>
      <c r="H31" s="9">
        <v>525</v>
      </c>
      <c r="I31" s="9">
        <v>105</v>
      </c>
      <c r="J31" s="9"/>
      <c r="K31" s="9">
        <v>172.2</v>
      </c>
      <c r="L31" s="9">
        <f t="shared" si="0"/>
        <v>802.2</v>
      </c>
      <c r="M31" s="9"/>
      <c r="N31" s="9"/>
      <c r="O31" s="9"/>
      <c r="P31" s="9">
        <f t="shared" si="1"/>
        <v>8848.32</v>
      </c>
      <c r="Q31" s="9">
        <v>1174.4100000000001</v>
      </c>
      <c r="R31" s="9">
        <v>570.88</v>
      </c>
      <c r="S31" s="9">
        <v>43.35</v>
      </c>
      <c r="T31" s="9">
        <v>172.2</v>
      </c>
      <c r="U31" s="9">
        <f t="shared" si="2"/>
        <v>1960.84</v>
      </c>
      <c r="V31" s="9">
        <f t="shared" si="3"/>
        <v>6887.48</v>
      </c>
    </row>
    <row r="32" spans="1:22" x14ac:dyDescent="0.25">
      <c r="A32" s="7" t="s">
        <v>44</v>
      </c>
      <c r="B32" s="7" t="s">
        <v>69</v>
      </c>
      <c r="C32" s="7" t="s">
        <v>100</v>
      </c>
      <c r="D32" s="9">
        <v>3517.98</v>
      </c>
      <c r="E32" s="9"/>
      <c r="F32" s="9"/>
      <c r="G32" s="9"/>
      <c r="H32" s="9">
        <v>525</v>
      </c>
      <c r="I32" s="9">
        <v>105</v>
      </c>
      <c r="J32" s="9"/>
      <c r="K32" s="9">
        <v>438.9</v>
      </c>
      <c r="L32" s="9">
        <f t="shared" si="0"/>
        <v>1068.9000000000001</v>
      </c>
      <c r="M32" s="9"/>
      <c r="N32" s="9"/>
      <c r="O32" s="9"/>
      <c r="P32" s="9">
        <f t="shared" si="1"/>
        <v>4586.88</v>
      </c>
      <c r="Q32" s="9">
        <v>112.96</v>
      </c>
      <c r="R32" s="9">
        <v>385.42</v>
      </c>
      <c r="S32" s="9">
        <v>14.15</v>
      </c>
      <c r="T32" s="9">
        <v>147.76</v>
      </c>
      <c r="U32" s="9">
        <f t="shared" si="2"/>
        <v>660.29</v>
      </c>
      <c r="V32" s="9">
        <f t="shared" si="3"/>
        <v>3926.59</v>
      </c>
    </row>
    <row r="33" spans="1:22" x14ac:dyDescent="0.25">
      <c r="A33" s="7" t="s">
        <v>45</v>
      </c>
      <c r="B33" s="7" t="s">
        <v>82</v>
      </c>
      <c r="C33" s="7" t="s">
        <v>97</v>
      </c>
      <c r="D33" s="9">
        <v>12339.48</v>
      </c>
      <c r="E33" s="9"/>
      <c r="F33" s="9"/>
      <c r="G33" s="9"/>
      <c r="H33" s="9">
        <v>525</v>
      </c>
      <c r="I33" s="9">
        <v>105</v>
      </c>
      <c r="J33" s="9"/>
      <c r="K33" s="9">
        <v>1115.52</v>
      </c>
      <c r="L33" s="9">
        <f t="shared" si="0"/>
        <v>1745.52</v>
      </c>
      <c r="M33" s="9"/>
      <c r="N33" s="9"/>
      <c r="O33" s="9"/>
      <c r="P33" s="9">
        <f t="shared" si="1"/>
        <v>14085</v>
      </c>
      <c r="Q33" s="9">
        <v>2367.0100000000002</v>
      </c>
      <c r="R33" s="9">
        <v>570.88</v>
      </c>
      <c r="S33" s="9"/>
      <c r="T33" s="9">
        <v>518.26</v>
      </c>
      <c r="U33" s="9">
        <f t="shared" si="2"/>
        <v>3456.1500000000005</v>
      </c>
      <c r="V33" s="9">
        <f t="shared" si="3"/>
        <v>10628.849999999999</v>
      </c>
    </row>
    <row r="34" spans="1:22" x14ac:dyDescent="0.25">
      <c r="A34" s="7" t="s">
        <v>46</v>
      </c>
      <c r="B34" s="7" t="s">
        <v>83</v>
      </c>
      <c r="C34" s="7" t="s">
        <v>94</v>
      </c>
      <c r="D34" s="9">
        <v>3517.98</v>
      </c>
      <c r="E34" s="9"/>
      <c r="F34" s="9"/>
      <c r="G34" s="9">
        <f>12.41+2.07</f>
        <v>14.48</v>
      </c>
      <c r="H34" s="9">
        <v>525</v>
      </c>
      <c r="I34" s="9">
        <v>105</v>
      </c>
      <c r="J34" s="9"/>
      <c r="K34" s="9">
        <v>273</v>
      </c>
      <c r="L34" s="9">
        <f t="shared" si="0"/>
        <v>903</v>
      </c>
      <c r="M34" s="9"/>
      <c r="N34" s="9"/>
      <c r="O34" s="9"/>
      <c r="P34" s="9">
        <f t="shared" si="1"/>
        <v>4435.46</v>
      </c>
      <c r="Q34" s="9">
        <v>115.96</v>
      </c>
      <c r="R34" s="9">
        <v>387.9</v>
      </c>
      <c r="S34" s="9">
        <f>6.14</f>
        <v>6.14</v>
      </c>
      <c r="T34" s="9">
        <v>147.76</v>
      </c>
      <c r="U34" s="9">
        <f t="shared" si="2"/>
        <v>657.76</v>
      </c>
      <c r="V34" s="9">
        <f t="shared" si="3"/>
        <v>3777.7</v>
      </c>
    </row>
    <row r="35" spans="1:22" x14ac:dyDescent="0.25">
      <c r="A35" s="7" t="s">
        <v>47</v>
      </c>
      <c r="B35" s="7" t="s">
        <v>84</v>
      </c>
      <c r="C35" s="7" t="s">
        <v>95</v>
      </c>
      <c r="D35" s="9">
        <v>12339.48</v>
      </c>
      <c r="E35" s="9"/>
      <c r="F35" s="9"/>
      <c r="G35" s="9"/>
      <c r="H35" s="9">
        <v>525</v>
      </c>
      <c r="I35" s="9">
        <v>105</v>
      </c>
      <c r="J35" s="9"/>
      <c r="K35" s="9">
        <v>159.6</v>
      </c>
      <c r="L35" s="9">
        <f t="shared" si="0"/>
        <v>789.6</v>
      </c>
      <c r="M35" s="9"/>
      <c r="N35" s="9"/>
      <c r="O35" s="9"/>
      <c r="P35" s="9">
        <f t="shared" si="1"/>
        <v>13129.08</v>
      </c>
      <c r="Q35" s="9">
        <v>2367.0100000000002</v>
      </c>
      <c r="R35" s="9">
        <v>570.88</v>
      </c>
      <c r="S35" s="9"/>
      <c r="T35" s="9">
        <v>159.6</v>
      </c>
      <c r="U35" s="9">
        <f t="shared" si="2"/>
        <v>3097.4900000000002</v>
      </c>
      <c r="V35" s="9">
        <f t="shared" si="3"/>
        <v>10031.59</v>
      </c>
    </row>
    <row r="36" spans="1:22" hidden="1" x14ac:dyDescent="0.25">
      <c r="A36" s="7" t="s">
        <v>119</v>
      </c>
      <c r="B36" s="7" t="s">
        <v>72</v>
      </c>
      <c r="C36" s="7" t="s">
        <v>102</v>
      </c>
      <c r="D36" s="9">
        <v>1308.92</v>
      </c>
      <c r="E36" s="9"/>
      <c r="F36" s="9"/>
      <c r="G36" s="9"/>
      <c r="H36" s="9"/>
      <c r="I36" s="9">
        <v>630</v>
      </c>
      <c r="J36" s="9"/>
      <c r="K36" s="19"/>
      <c r="L36" s="9">
        <f t="shared" si="0"/>
        <v>630</v>
      </c>
      <c r="M36" s="9"/>
      <c r="N36" s="9"/>
      <c r="O36" s="9"/>
      <c r="P36" s="9">
        <f t="shared" si="1"/>
        <v>1938.92</v>
      </c>
      <c r="Q36" s="9"/>
      <c r="R36" s="9"/>
      <c r="S36" s="9"/>
      <c r="T36" s="9"/>
      <c r="U36" s="9"/>
      <c r="V36" s="9">
        <f t="shared" ref="V36" si="4">P36-U36</f>
        <v>1938.92</v>
      </c>
    </row>
    <row r="37" spans="1:22" x14ac:dyDescent="0.25">
      <c r="A37" s="7" t="s">
        <v>48</v>
      </c>
      <c r="B37" s="7" t="s">
        <v>85</v>
      </c>
      <c r="C37" s="7" t="s">
        <v>102</v>
      </c>
      <c r="D37" s="9">
        <v>9395.69</v>
      </c>
      <c r="E37" s="9"/>
      <c r="F37" s="9"/>
      <c r="G37" s="9"/>
      <c r="H37" s="9">
        <v>525</v>
      </c>
      <c r="I37" s="9">
        <v>105</v>
      </c>
      <c r="J37" s="9"/>
      <c r="K37" s="9"/>
      <c r="L37" s="9">
        <f t="shared" si="0"/>
        <v>630</v>
      </c>
      <c r="M37" s="9"/>
      <c r="N37" s="9"/>
      <c r="O37" s="9"/>
      <c r="P37" s="9">
        <f t="shared" si="1"/>
        <v>10025.69</v>
      </c>
      <c r="Q37" s="9">
        <v>1557.46</v>
      </c>
      <c r="R37" s="9">
        <v>570.88</v>
      </c>
      <c r="S37" s="9"/>
      <c r="T37" s="9"/>
      <c r="U37" s="9">
        <f t="shared" si="2"/>
        <v>2128.34</v>
      </c>
      <c r="V37" s="9">
        <f t="shared" si="3"/>
        <v>7897.35</v>
      </c>
    </row>
    <row r="38" spans="1:22" x14ac:dyDescent="0.25">
      <c r="A38" s="7" t="s">
        <v>49</v>
      </c>
      <c r="B38" s="7" t="s">
        <v>86</v>
      </c>
      <c r="C38" s="7" t="s">
        <v>102</v>
      </c>
      <c r="D38" s="9">
        <v>2490.2399999999998</v>
      </c>
      <c r="E38" s="9">
        <v>3916.31</v>
      </c>
      <c r="F38" s="9"/>
      <c r="G38" s="9">
        <f>156.91+78.07+39.16</f>
        <v>274.14</v>
      </c>
      <c r="H38" s="9">
        <v>300</v>
      </c>
      <c r="I38" s="19"/>
      <c r="J38" s="9"/>
      <c r="K38" s="9">
        <v>73.8</v>
      </c>
      <c r="L38" s="9">
        <f t="shared" si="0"/>
        <v>373.8</v>
      </c>
      <c r="M38" s="9">
        <f>540.36+1305.43</f>
        <v>1845.79</v>
      </c>
      <c r="N38" s="9"/>
      <c r="O38" s="9"/>
      <c r="P38" s="9">
        <f t="shared" si="1"/>
        <v>8900.2799999999988</v>
      </c>
      <c r="Q38" s="9">
        <v>138.36000000000001</v>
      </c>
      <c r="R38" s="19">
        <v>570.88</v>
      </c>
      <c r="S38" s="9">
        <f>17.01</f>
        <v>17.010000000000002</v>
      </c>
      <c r="T38" s="9">
        <v>73.8</v>
      </c>
      <c r="U38" s="9">
        <f t="shared" si="2"/>
        <v>800.05</v>
      </c>
      <c r="V38" s="9">
        <f t="shared" si="3"/>
        <v>8100.2299999999987</v>
      </c>
    </row>
    <row r="39" spans="1:22" x14ac:dyDescent="0.25">
      <c r="A39" s="7" t="s">
        <v>50</v>
      </c>
      <c r="B39" s="7" t="s">
        <v>80</v>
      </c>
      <c r="C39" s="7" t="s">
        <v>101</v>
      </c>
      <c r="D39" s="9">
        <v>3517.98</v>
      </c>
      <c r="E39" s="9"/>
      <c r="F39" s="9"/>
      <c r="G39" s="9">
        <f>17.62+50.05+11.28</f>
        <v>78.95</v>
      </c>
      <c r="H39" s="9">
        <v>525</v>
      </c>
      <c r="I39" s="9">
        <v>105</v>
      </c>
      <c r="J39" s="9"/>
      <c r="K39" s="9">
        <v>212.1</v>
      </c>
      <c r="L39" s="9">
        <f t="shared" si="0"/>
        <v>842.1</v>
      </c>
      <c r="M39" s="9"/>
      <c r="N39" s="9"/>
      <c r="O39" s="9"/>
      <c r="P39" s="9">
        <f t="shared" si="1"/>
        <v>4439.03</v>
      </c>
      <c r="Q39" s="9">
        <v>125.39</v>
      </c>
      <c r="R39" s="9">
        <v>395.66</v>
      </c>
      <c r="S39" s="9"/>
      <c r="T39" s="9">
        <v>147.76</v>
      </c>
      <c r="U39" s="9">
        <f>Q39+R39+S39+T39</f>
        <v>668.81000000000006</v>
      </c>
      <c r="V39" s="9">
        <f t="shared" si="3"/>
        <v>3770.22</v>
      </c>
    </row>
    <row r="40" spans="1:22" x14ac:dyDescent="0.25">
      <c r="A40" s="6" t="s">
        <v>51</v>
      </c>
      <c r="B40" s="7" t="s">
        <v>68</v>
      </c>
      <c r="C40" s="7" t="s">
        <v>92</v>
      </c>
      <c r="D40" s="9">
        <v>3517.98</v>
      </c>
      <c r="E40" s="9"/>
      <c r="F40" s="9"/>
      <c r="G40" s="9"/>
      <c r="H40" s="9">
        <v>525</v>
      </c>
      <c r="I40" s="9">
        <v>105</v>
      </c>
      <c r="J40" s="9"/>
      <c r="K40" s="9">
        <v>273</v>
      </c>
      <c r="L40" s="9">
        <f t="shared" si="0"/>
        <v>903</v>
      </c>
      <c r="M40" s="12"/>
      <c r="N40" s="9"/>
      <c r="O40" s="9"/>
      <c r="P40" s="9">
        <f t="shared" si="1"/>
        <v>4420.9799999999996</v>
      </c>
      <c r="Q40" s="9">
        <v>95.36</v>
      </c>
      <c r="R40" s="9">
        <v>370.92</v>
      </c>
      <c r="S40" s="9">
        <f>146.01+35.18</f>
        <v>181.19</v>
      </c>
      <c r="T40" s="9">
        <v>147.76</v>
      </c>
      <c r="U40" s="9">
        <f t="shared" si="2"/>
        <v>795.23</v>
      </c>
      <c r="V40" s="9">
        <f t="shared" si="3"/>
        <v>3625.7499999999995</v>
      </c>
    </row>
    <row r="41" spans="1:22" hidden="1" x14ac:dyDescent="0.25">
      <c r="A41" s="6" t="s">
        <v>52</v>
      </c>
      <c r="B41" s="7" t="s">
        <v>72</v>
      </c>
      <c r="C41" s="7" t="s">
        <v>98</v>
      </c>
      <c r="D41" s="9">
        <v>1308.92</v>
      </c>
      <c r="E41" s="9"/>
      <c r="F41" s="9"/>
      <c r="G41" s="9"/>
      <c r="H41" s="9">
        <f>525+525</f>
        <v>1050</v>
      </c>
      <c r="I41" s="9">
        <v>105</v>
      </c>
      <c r="J41" s="9"/>
      <c r="K41" s="9">
        <f>438.9+159.6</f>
        <v>598.5</v>
      </c>
      <c r="L41" s="9">
        <f t="shared" si="0"/>
        <v>1753.5</v>
      </c>
      <c r="M41" s="9"/>
      <c r="N41" s="9"/>
      <c r="O41" s="9"/>
      <c r="P41" s="9">
        <f t="shared" si="1"/>
        <v>3062.42</v>
      </c>
      <c r="Q41" s="9"/>
      <c r="R41" s="9"/>
      <c r="S41" s="9"/>
      <c r="T41" s="9"/>
      <c r="U41" s="9"/>
      <c r="V41" s="9">
        <f t="shared" si="3"/>
        <v>3062.42</v>
      </c>
    </row>
    <row r="42" spans="1:22" x14ac:dyDescent="0.25">
      <c r="A42" s="7" t="s">
        <v>53</v>
      </c>
      <c r="B42" s="7" t="s">
        <v>68</v>
      </c>
      <c r="C42" s="7" t="s">
        <v>92</v>
      </c>
      <c r="D42" s="9">
        <v>3517.98</v>
      </c>
      <c r="E42" s="9"/>
      <c r="F42" s="9"/>
      <c r="G42" s="9">
        <f>46.04+7.67</f>
        <v>53.71</v>
      </c>
      <c r="H42" s="9">
        <v>525</v>
      </c>
      <c r="I42" s="9">
        <v>105</v>
      </c>
      <c r="J42" s="9"/>
      <c r="K42" s="9"/>
      <c r="L42" s="9">
        <f t="shared" si="0"/>
        <v>630</v>
      </c>
      <c r="M42" s="9"/>
      <c r="N42" s="9"/>
      <c r="O42" s="9"/>
      <c r="P42" s="9">
        <f t="shared" si="1"/>
        <v>4201.6900000000005</v>
      </c>
      <c r="Q42" s="9">
        <v>118.78</v>
      </c>
      <c r="R42" s="9">
        <v>390.21</v>
      </c>
      <c r="S42" s="9">
        <f>1.87+22.42+35.18</f>
        <v>59.47</v>
      </c>
      <c r="T42" s="9"/>
      <c r="U42" s="9">
        <f t="shared" si="2"/>
        <v>568.46</v>
      </c>
      <c r="V42" s="9">
        <f t="shared" si="3"/>
        <v>3633.2300000000005</v>
      </c>
    </row>
    <row r="43" spans="1:22" x14ac:dyDescent="0.25">
      <c r="A43" s="7" t="s">
        <v>54</v>
      </c>
      <c r="B43" s="7" t="s">
        <v>76</v>
      </c>
      <c r="C43" s="7" t="s">
        <v>97</v>
      </c>
      <c r="D43" s="9">
        <v>8046.12</v>
      </c>
      <c r="E43" s="9"/>
      <c r="F43" s="9"/>
      <c r="G43" s="9"/>
      <c r="H43" s="9">
        <v>525</v>
      </c>
      <c r="I43" s="9">
        <v>105</v>
      </c>
      <c r="J43" s="9">
        <v>250</v>
      </c>
      <c r="K43" s="19">
        <v>432.6</v>
      </c>
      <c r="L43" s="9">
        <f t="shared" si="0"/>
        <v>1312.6</v>
      </c>
      <c r="M43" s="9"/>
      <c r="N43" s="9"/>
      <c r="O43" s="9"/>
      <c r="P43" s="9">
        <f t="shared" si="1"/>
        <v>9358.7199999999993</v>
      </c>
      <c r="Q43" s="9">
        <v>1134.19</v>
      </c>
      <c r="R43" s="9">
        <v>570.88</v>
      </c>
      <c r="S43" s="9"/>
      <c r="T43" s="19"/>
      <c r="U43" s="9">
        <f t="shared" si="2"/>
        <v>1705.0700000000002</v>
      </c>
      <c r="V43" s="9">
        <f t="shared" si="3"/>
        <v>7653.65</v>
      </c>
    </row>
    <row r="44" spans="1:22" x14ac:dyDescent="0.25">
      <c r="A44" s="6" t="s">
        <v>55</v>
      </c>
      <c r="B44" s="7" t="s">
        <v>76</v>
      </c>
      <c r="C44" s="7" t="s">
        <v>97</v>
      </c>
      <c r="D44" s="9">
        <v>8046.12</v>
      </c>
      <c r="E44" s="9"/>
      <c r="F44" s="9"/>
      <c r="G44" s="9">
        <f>18.31+3.05</f>
        <v>21.36</v>
      </c>
      <c r="H44" s="9">
        <v>525</v>
      </c>
      <c r="I44" s="9">
        <v>105</v>
      </c>
      <c r="J44" s="9"/>
      <c r="K44" s="9"/>
      <c r="L44" s="9">
        <f t="shared" si="0"/>
        <v>630</v>
      </c>
      <c r="M44" s="9"/>
      <c r="N44" s="9"/>
      <c r="O44" s="9"/>
      <c r="P44" s="9">
        <f t="shared" si="1"/>
        <v>8697.48</v>
      </c>
      <c r="Q44" s="9">
        <v>1192.21</v>
      </c>
      <c r="R44" s="9">
        <v>570.88</v>
      </c>
      <c r="S44" s="9"/>
      <c r="T44" s="9"/>
      <c r="U44" s="9">
        <f t="shared" si="2"/>
        <v>1763.0900000000001</v>
      </c>
      <c r="V44" s="9">
        <f t="shared" si="3"/>
        <v>6934.3899999999994</v>
      </c>
    </row>
    <row r="45" spans="1:22" hidden="1" x14ac:dyDescent="0.25">
      <c r="A45" s="6" t="s">
        <v>56</v>
      </c>
      <c r="B45" s="7" t="s">
        <v>72</v>
      </c>
      <c r="C45" s="7" t="s">
        <v>94</v>
      </c>
      <c r="D45" s="9">
        <v>1308.92</v>
      </c>
      <c r="E45" s="9"/>
      <c r="F45" s="9"/>
      <c r="G45" s="9"/>
      <c r="H45" s="9">
        <v>525</v>
      </c>
      <c r="I45" s="9">
        <v>105</v>
      </c>
      <c r="J45" s="9"/>
      <c r="K45" s="9">
        <v>273</v>
      </c>
      <c r="L45" s="9">
        <f t="shared" si="0"/>
        <v>903</v>
      </c>
      <c r="M45" s="9"/>
      <c r="N45" s="9"/>
      <c r="O45" s="9"/>
      <c r="P45" s="9">
        <f t="shared" si="1"/>
        <v>2211.92</v>
      </c>
      <c r="Q45" s="9"/>
      <c r="R45" s="9"/>
      <c r="S45" s="9"/>
      <c r="T45" s="9"/>
      <c r="U45" s="9"/>
      <c r="V45" s="9">
        <f t="shared" si="3"/>
        <v>2211.92</v>
      </c>
    </row>
    <row r="46" spans="1:22" x14ac:dyDescent="0.25">
      <c r="A46" s="6" t="s">
        <v>57</v>
      </c>
      <c r="B46" s="7" t="s">
        <v>76</v>
      </c>
      <c r="C46" s="7" t="s">
        <v>96</v>
      </c>
      <c r="D46" s="9">
        <v>8046.12</v>
      </c>
      <c r="E46" s="9"/>
      <c r="F46" s="9"/>
      <c r="G46" s="9">
        <f>17.4+2.9</f>
        <v>20.299999999999997</v>
      </c>
      <c r="H46" s="9">
        <v>525</v>
      </c>
      <c r="I46" s="9">
        <v>105</v>
      </c>
      <c r="J46" s="9"/>
      <c r="K46" s="9"/>
      <c r="L46" s="9">
        <f t="shared" si="0"/>
        <v>630</v>
      </c>
      <c r="M46" s="9"/>
      <c r="N46" s="9"/>
      <c r="O46" s="9"/>
      <c r="P46" s="9">
        <f t="shared" si="1"/>
        <v>8696.42</v>
      </c>
      <c r="Q46" s="9">
        <v>1188.05</v>
      </c>
      <c r="R46" s="9">
        <v>570.88</v>
      </c>
      <c r="S46" s="9">
        <f>3.66+10.38</f>
        <v>14.040000000000001</v>
      </c>
      <c r="T46" s="9"/>
      <c r="U46" s="9">
        <f t="shared" si="2"/>
        <v>1772.9699999999998</v>
      </c>
      <c r="V46" s="9">
        <f t="shared" si="3"/>
        <v>6923.4500000000007</v>
      </c>
    </row>
    <row r="47" spans="1:22" x14ac:dyDescent="0.25">
      <c r="A47" s="6" t="s">
        <v>58</v>
      </c>
      <c r="B47" s="7" t="s">
        <v>68</v>
      </c>
      <c r="C47" s="7" t="s">
        <v>92</v>
      </c>
      <c r="D47" s="9">
        <v>2345.3200000000002</v>
      </c>
      <c r="E47" s="9">
        <v>1067.7</v>
      </c>
      <c r="F47" s="9"/>
      <c r="G47" s="9"/>
      <c r="H47" s="9">
        <v>325</v>
      </c>
      <c r="I47" s="9">
        <v>65</v>
      </c>
      <c r="J47" s="9"/>
      <c r="K47" s="9">
        <v>169</v>
      </c>
      <c r="L47" s="9">
        <f t="shared" si="0"/>
        <v>559</v>
      </c>
      <c r="M47" s="9">
        <f>139.95+355.9</f>
        <v>495.84999999999997</v>
      </c>
      <c r="N47" s="9"/>
      <c r="O47" s="9"/>
      <c r="P47" s="9">
        <f t="shared" si="1"/>
        <v>4467.8700000000008</v>
      </c>
      <c r="Q47" s="9"/>
      <c r="R47" s="9">
        <f>316.09+113.89</f>
        <v>429.97999999999996</v>
      </c>
      <c r="S47" s="9">
        <v>23.45</v>
      </c>
      <c r="T47" s="9">
        <v>91.47</v>
      </c>
      <c r="U47" s="9">
        <f t="shared" si="2"/>
        <v>544.9</v>
      </c>
      <c r="V47" s="9">
        <f t="shared" si="3"/>
        <v>3922.9700000000007</v>
      </c>
    </row>
    <row r="48" spans="1:22" x14ac:dyDescent="0.25">
      <c r="A48" s="6" t="s">
        <v>59</v>
      </c>
      <c r="B48" s="7" t="s">
        <v>76</v>
      </c>
      <c r="C48" s="7" t="s">
        <v>96</v>
      </c>
      <c r="D48" s="9">
        <v>8046.12</v>
      </c>
      <c r="E48" s="9"/>
      <c r="F48" s="9"/>
      <c r="G48" s="9"/>
      <c r="H48" s="9">
        <v>525</v>
      </c>
      <c r="I48" s="9">
        <v>105</v>
      </c>
      <c r="J48" s="9"/>
      <c r="K48" s="9">
        <v>172.2</v>
      </c>
      <c r="L48" s="9">
        <f t="shared" si="0"/>
        <v>802.2</v>
      </c>
      <c r="M48" s="9"/>
      <c r="N48" s="9"/>
      <c r="O48" s="9"/>
      <c r="P48" s="9">
        <f t="shared" si="1"/>
        <v>8848.32</v>
      </c>
      <c r="Q48" s="9">
        <v>1185.32</v>
      </c>
      <c r="R48" s="9">
        <v>570.88</v>
      </c>
      <c r="S48" s="9">
        <v>3.66</v>
      </c>
      <c r="T48" s="9">
        <v>172.2</v>
      </c>
      <c r="U48" s="9">
        <f t="shared" si="2"/>
        <v>1932.06</v>
      </c>
      <c r="V48" s="9">
        <f t="shared" si="3"/>
        <v>6916.26</v>
      </c>
    </row>
    <row r="49" spans="1:22" x14ac:dyDescent="0.25">
      <c r="A49" s="6" t="s">
        <v>60</v>
      </c>
      <c r="B49" s="7" t="s">
        <v>87</v>
      </c>
      <c r="C49" s="7" t="s">
        <v>94</v>
      </c>
      <c r="D49" s="9">
        <v>6791.55</v>
      </c>
      <c r="E49" s="9"/>
      <c r="F49" s="9"/>
      <c r="G49" s="9"/>
      <c r="H49" s="9">
        <v>525</v>
      </c>
      <c r="I49" s="9">
        <v>105</v>
      </c>
      <c r="J49" s="9"/>
      <c r="K49" s="9">
        <v>159.6</v>
      </c>
      <c r="L49" s="9">
        <f t="shared" si="0"/>
        <v>789.6</v>
      </c>
      <c r="M49" s="9"/>
      <c r="N49" s="9"/>
      <c r="O49" s="9"/>
      <c r="P49" s="9">
        <f t="shared" si="1"/>
        <v>7581.1500000000005</v>
      </c>
      <c r="Q49" s="9">
        <v>841.32</v>
      </c>
      <c r="R49" s="9">
        <v>570.88</v>
      </c>
      <c r="S49" s="9"/>
      <c r="T49" s="9">
        <v>159.6</v>
      </c>
      <c r="U49" s="9">
        <f t="shared" si="2"/>
        <v>1571.8</v>
      </c>
      <c r="V49" s="9">
        <f t="shared" si="3"/>
        <v>6009.35</v>
      </c>
    </row>
    <row r="50" spans="1:22" x14ac:dyDescent="0.25">
      <c r="A50" s="6" t="s">
        <v>61</v>
      </c>
      <c r="B50" s="7" t="s">
        <v>88</v>
      </c>
      <c r="C50" s="7" t="s">
        <v>93</v>
      </c>
      <c r="D50" s="9">
        <v>9395.69</v>
      </c>
      <c r="E50" s="9"/>
      <c r="F50" s="9"/>
      <c r="G50" s="9"/>
      <c r="H50" s="9">
        <v>525</v>
      </c>
      <c r="I50" s="9">
        <v>105</v>
      </c>
      <c r="J50" s="9"/>
      <c r="K50" s="9">
        <v>172.2</v>
      </c>
      <c r="L50" s="9">
        <f t="shared" si="0"/>
        <v>802.2</v>
      </c>
      <c r="M50" s="9"/>
      <c r="N50" s="9"/>
      <c r="O50" s="9"/>
      <c r="P50" s="9">
        <f t="shared" si="1"/>
        <v>10197.890000000001</v>
      </c>
      <c r="Q50" s="9">
        <v>1557.46</v>
      </c>
      <c r="R50" s="9">
        <v>570.88</v>
      </c>
      <c r="S50" s="9"/>
      <c r="T50" s="9">
        <v>172.2</v>
      </c>
      <c r="U50" s="9">
        <f t="shared" si="2"/>
        <v>2300.54</v>
      </c>
      <c r="V50" s="9">
        <f t="shared" si="3"/>
        <v>7897.3500000000013</v>
      </c>
    </row>
    <row r="51" spans="1:22" x14ac:dyDescent="0.25">
      <c r="A51" s="7" t="s">
        <v>62</v>
      </c>
      <c r="B51" s="7" t="s">
        <v>83</v>
      </c>
      <c r="C51" s="7" t="s">
        <v>94</v>
      </c>
      <c r="D51" s="9">
        <v>3517.98</v>
      </c>
      <c r="E51" s="9"/>
      <c r="F51" s="9"/>
      <c r="G51" s="9"/>
      <c r="H51" s="9">
        <v>525</v>
      </c>
      <c r="I51" s="9">
        <v>105</v>
      </c>
      <c r="J51" s="9"/>
      <c r="K51" s="9">
        <v>420</v>
      </c>
      <c r="L51" s="9">
        <f t="shared" si="0"/>
        <v>1050</v>
      </c>
      <c r="M51" s="9"/>
      <c r="N51" s="9"/>
      <c r="O51" s="9"/>
      <c r="P51" s="9">
        <f t="shared" si="1"/>
        <v>4567.9799999999996</v>
      </c>
      <c r="Q51" s="9">
        <v>113.03</v>
      </c>
      <c r="R51" s="9">
        <v>385.48</v>
      </c>
      <c r="S51" s="9">
        <f>35.18+13.61</f>
        <v>48.79</v>
      </c>
      <c r="T51" s="9">
        <v>147.76</v>
      </c>
      <c r="U51" s="9">
        <f t="shared" si="2"/>
        <v>695.06</v>
      </c>
      <c r="V51" s="9">
        <f t="shared" si="3"/>
        <v>3872.9199999999996</v>
      </c>
    </row>
    <row r="52" spans="1:22" x14ac:dyDescent="0.25">
      <c r="A52" s="7" t="s">
        <v>63</v>
      </c>
      <c r="B52" s="7" t="s">
        <v>89</v>
      </c>
      <c r="C52" s="7" t="s">
        <v>98</v>
      </c>
      <c r="D52" s="9">
        <v>3395.78</v>
      </c>
      <c r="E52" s="9">
        <v>3091.83</v>
      </c>
      <c r="F52" s="9"/>
      <c r="G52" s="9"/>
      <c r="H52" s="9">
        <v>275</v>
      </c>
      <c r="I52" s="9">
        <v>55</v>
      </c>
      <c r="J52" s="9"/>
      <c r="K52" s="9">
        <v>90.2</v>
      </c>
      <c r="L52" s="9">
        <f t="shared" si="0"/>
        <v>420.2</v>
      </c>
      <c r="M52" s="9">
        <f>405.27+1030.61</f>
        <v>1435.8799999999999</v>
      </c>
      <c r="N52" s="9"/>
      <c r="O52" s="9"/>
      <c r="P52" s="9">
        <f t="shared" si="1"/>
        <v>8343.69</v>
      </c>
      <c r="Q52" s="9">
        <f>197.75+195.55</f>
        <v>393.3</v>
      </c>
      <c r="R52" s="9">
        <f>117.41+453.47</f>
        <v>570.88</v>
      </c>
      <c r="S52" s="9"/>
      <c r="T52" s="9">
        <v>90.2</v>
      </c>
      <c r="U52" s="9">
        <f t="shared" si="2"/>
        <v>1054.3800000000001</v>
      </c>
      <c r="V52" s="9">
        <f t="shared" si="3"/>
        <v>7289.31</v>
      </c>
    </row>
    <row r="53" spans="1:22" x14ac:dyDescent="0.25">
      <c r="A53" s="6" t="s">
        <v>64</v>
      </c>
      <c r="B53" s="7" t="s">
        <v>68</v>
      </c>
      <c r="C53" s="7" t="s">
        <v>96</v>
      </c>
      <c r="D53" s="9">
        <v>3517.98</v>
      </c>
      <c r="E53" s="9"/>
      <c r="F53" s="9"/>
      <c r="G53" s="9"/>
      <c r="H53" s="9">
        <v>525</v>
      </c>
      <c r="I53" s="9">
        <v>105</v>
      </c>
      <c r="J53" s="9"/>
      <c r="K53" s="9">
        <v>172.2</v>
      </c>
      <c r="L53" s="9">
        <f t="shared" si="0"/>
        <v>802.2</v>
      </c>
      <c r="M53" s="9"/>
      <c r="N53" s="9"/>
      <c r="O53" s="9"/>
      <c r="P53" s="9">
        <f t="shared" si="1"/>
        <v>4320.18</v>
      </c>
      <c r="Q53" s="9">
        <v>114.85</v>
      </c>
      <c r="R53" s="9">
        <v>386.98</v>
      </c>
      <c r="S53" s="9"/>
      <c r="T53" s="9">
        <v>147.76</v>
      </c>
      <c r="U53" s="9">
        <f t="shared" si="2"/>
        <v>649.59</v>
      </c>
      <c r="V53" s="9">
        <f t="shared" si="3"/>
        <v>3670.59</v>
      </c>
    </row>
    <row r="54" spans="1:22" x14ac:dyDescent="0.25">
      <c r="A54" s="7" t="s">
        <v>65</v>
      </c>
      <c r="B54" s="7" t="s">
        <v>90</v>
      </c>
      <c r="C54" s="7" t="s">
        <v>100</v>
      </c>
      <c r="D54" s="9">
        <v>6791.55</v>
      </c>
      <c r="E54" s="9"/>
      <c r="F54" s="9"/>
      <c r="G54" s="9"/>
      <c r="H54" s="9">
        <v>525</v>
      </c>
      <c r="I54" s="9">
        <v>105</v>
      </c>
      <c r="J54" s="9"/>
      <c r="K54" s="9"/>
      <c r="L54" s="9">
        <f t="shared" si="0"/>
        <v>630</v>
      </c>
      <c r="M54" s="9"/>
      <c r="N54" s="9"/>
      <c r="O54" s="9"/>
      <c r="P54" s="9">
        <f t="shared" si="1"/>
        <v>7421.55</v>
      </c>
      <c r="Q54" s="9">
        <v>839.77</v>
      </c>
      <c r="R54" s="9">
        <v>570.88</v>
      </c>
      <c r="S54" s="9">
        <v>5.67</v>
      </c>
      <c r="T54" s="9"/>
      <c r="U54" s="9">
        <f t="shared" si="2"/>
        <v>1416.3200000000002</v>
      </c>
      <c r="V54" s="9">
        <f t="shared" si="3"/>
        <v>6005.23</v>
      </c>
    </row>
    <row r="55" spans="1:22" hidden="1" x14ac:dyDescent="0.25">
      <c r="A55" s="6" t="s">
        <v>66</v>
      </c>
      <c r="B55" s="7" t="s">
        <v>72</v>
      </c>
      <c r="C55" s="7" t="s">
        <v>102</v>
      </c>
      <c r="D55" s="9">
        <v>1308.92</v>
      </c>
      <c r="E55" s="9"/>
      <c r="F55" s="9"/>
      <c r="G55" s="9"/>
      <c r="H55" s="9">
        <v>525</v>
      </c>
      <c r="I55" s="9">
        <v>105</v>
      </c>
      <c r="J55" s="9"/>
      <c r="K55" s="9">
        <v>273</v>
      </c>
      <c r="L55" s="9">
        <f t="shared" si="0"/>
        <v>903</v>
      </c>
      <c r="M55" s="9"/>
      <c r="N55" s="9"/>
      <c r="O55" s="9"/>
      <c r="P55" s="9">
        <f t="shared" si="1"/>
        <v>2211.92</v>
      </c>
      <c r="Q55" s="9"/>
      <c r="R55" s="9"/>
      <c r="S55" s="9"/>
      <c r="T55" s="9"/>
      <c r="U55" s="9"/>
      <c r="V55" s="9">
        <f t="shared" si="3"/>
        <v>2211.92</v>
      </c>
    </row>
    <row r="56" spans="1:22" x14ac:dyDescent="0.25">
      <c r="A56" s="7" t="s">
        <v>67</v>
      </c>
      <c r="B56" s="7" t="s">
        <v>91</v>
      </c>
      <c r="C56" s="7" t="s">
        <v>95</v>
      </c>
      <c r="D56" s="9">
        <v>9395.69</v>
      </c>
      <c r="E56" s="9"/>
      <c r="F56" s="9"/>
      <c r="G56" s="9"/>
      <c r="H56" s="9">
        <v>650</v>
      </c>
      <c r="I56" s="9">
        <v>105</v>
      </c>
      <c r="J56" s="9"/>
      <c r="K56" s="9"/>
      <c r="L56" s="9">
        <f t="shared" si="0"/>
        <v>755</v>
      </c>
      <c r="M56" s="9"/>
      <c r="N56" s="9"/>
      <c r="O56" s="9"/>
      <c r="P56" s="9">
        <f t="shared" si="1"/>
        <v>10150.69</v>
      </c>
      <c r="Q56" s="9">
        <v>1557.46</v>
      </c>
      <c r="R56" s="9">
        <v>570.88</v>
      </c>
      <c r="S56" s="9"/>
      <c r="T56" s="9"/>
      <c r="U56" s="9">
        <f t="shared" si="2"/>
        <v>2128.34</v>
      </c>
      <c r="V56" s="9">
        <f t="shared" si="3"/>
        <v>8022.35</v>
      </c>
    </row>
    <row r="57" spans="1:22" hidden="1" x14ac:dyDescent="0.25">
      <c r="H57" s="1">
        <f>SUM(H5:H56)</f>
        <v>24775</v>
      </c>
      <c r="I57" s="1">
        <f>SUM(I5:I56)</f>
        <v>5455</v>
      </c>
      <c r="J57" s="1"/>
      <c r="K57" s="1">
        <f>SUM(K5:K56)</f>
        <v>9426.6200000000026</v>
      </c>
      <c r="L57" s="1"/>
      <c r="P57" s="3"/>
      <c r="V57" s="1">
        <f>SUM(V5:V56)</f>
        <v>282150.66000000015</v>
      </c>
    </row>
    <row r="58" spans="1:22" x14ac:dyDescent="0.25">
      <c r="H58" s="1"/>
      <c r="I58" s="1"/>
      <c r="J58" s="1"/>
      <c r="K58" s="1"/>
      <c r="L58" s="1"/>
      <c r="P58" s="3"/>
    </row>
    <row r="59" spans="1:22" ht="19.5" x14ac:dyDescent="0.3">
      <c r="A59" s="21" t="s">
        <v>108</v>
      </c>
      <c r="P59" s="3"/>
    </row>
    <row r="60" spans="1:22" ht="16.5" customHeight="1" x14ac:dyDescent="0.25">
      <c r="A60" s="32" t="s">
        <v>0</v>
      </c>
      <c r="B60" s="32" t="s">
        <v>1</v>
      </c>
      <c r="C60" s="32" t="s">
        <v>2</v>
      </c>
      <c r="D60" s="32" t="s">
        <v>111</v>
      </c>
      <c r="E60" s="32" t="s">
        <v>110</v>
      </c>
      <c r="F60" s="32" t="s">
        <v>11</v>
      </c>
      <c r="G60" s="32" t="s">
        <v>12</v>
      </c>
      <c r="H60" s="32"/>
      <c r="I60" s="32"/>
      <c r="J60" s="32"/>
      <c r="K60" s="32"/>
      <c r="L60" s="32" t="s">
        <v>109</v>
      </c>
      <c r="N60" s="3"/>
    </row>
    <row r="61" spans="1:22" x14ac:dyDescent="0.25">
      <c r="A61" s="6" t="s">
        <v>41</v>
      </c>
      <c r="B61" s="7" t="s">
        <v>77</v>
      </c>
      <c r="C61" s="7" t="s">
        <v>96</v>
      </c>
      <c r="D61" s="9">
        <v>3662.97</v>
      </c>
      <c r="E61" s="9"/>
      <c r="F61" s="20"/>
      <c r="G61" s="20"/>
      <c r="L61" s="20"/>
      <c r="P61" s="3"/>
    </row>
    <row r="62" spans="1:22" x14ac:dyDescent="0.25">
      <c r="P62" s="3"/>
    </row>
    <row r="63" spans="1:22" x14ac:dyDescent="0.25">
      <c r="P63" s="3"/>
    </row>
    <row r="64" spans="1:22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  <row r="121" spans="16:16" x14ac:dyDescent="0.25">
      <c r="P121" s="3"/>
    </row>
    <row r="122" spans="16:16" x14ac:dyDescent="0.25">
      <c r="P122" s="3"/>
    </row>
    <row r="123" spans="16:16" x14ac:dyDescent="0.25">
      <c r="P123" s="3"/>
    </row>
  </sheetData>
  <autoFilter ref="A4:V61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  <filter val="SECRETARIO EXECUTIVO"/>
      </filters>
    </filterColumn>
  </autoFilter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24"/>
  <sheetViews>
    <sheetView showGridLines="0" zoomScaleNormal="100" workbookViewId="0">
      <pane xSplit="1" topLeftCell="B1" activePane="topRight" state="frozen"/>
      <selection pane="topRight" activeCell="K24" sqref="K24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7.140625" style="2" customWidth="1"/>
    <col min="5" max="5" width="19.28515625" style="2" customWidth="1"/>
    <col min="6" max="6" width="19.140625" style="2" customWidth="1"/>
    <col min="7" max="7" width="12.28515625" style="2" customWidth="1"/>
    <col min="8" max="10" width="22" style="2" hidden="1" customWidth="1"/>
    <col min="11" max="11" width="22" style="2" customWidth="1"/>
    <col min="12" max="12" width="19.7109375" style="2" customWidth="1"/>
    <col min="13" max="13" width="22.42578125" style="2" customWidth="1"/>
    <col min="14" max="14" width="14" style="2" bestFit="1" customWidth="1"/>
    <col min="15" max="15" width="20.28515625" style="2" customWidth="1"/>
    <col min="16" max="16" width="13" style="2" bestFit="1" customWidth="1"/>
    <col min="17" max="17" width="12.140625" style="2" bestFit="1" customWidth="1"/>
    <col min="18" max="18" width="13.28515625" style="2" customWidth="1"/>
    <col min="19" max="19" width="11.42578125" style="2" bestFit="1" customWidth="1"/>
    <col min="20" max="20" width="15.140625" style="2" customWidth="1"/>
    <col min="21" max="21" width="13.28515625" style="2" bestFit="1" customWidth="1"/>
    <col min="22" max="16384" width="9.140625" style="2"/>
  </cols>
  <sheetData>
    <row r="1" spans="1:21" ht="18.75" x14ac:dyDescent="0.3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ht="18.75" x14ac:dyDescent="0.3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21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1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660</v>
      </c>
      <c r="I5" s="9"/>
      <c r="J5" s="9">
        <v>440</v>
      </c>
      <c r="K5" s="19">
        <f>H5+I5+J5</f>
        <v>1100</v>
      </c>
      <c r="L5" s="9"/>
      <c r="M5" s="9"/>
      <c r="N5" s="9"/>
      <c r="O5" s="9">
        <f>D5+E5+F5+G5+K5+L5+M5+N5</f>
        <v>4617.9799999999996</v>
      </c>
      <c r="P5" s="9">
        <v>114.85</v>
      </c>
      <c r="Q5" s="9">
        <v>386.98</v>
      </c>
      <c r="R5" s="9">
        <v>35.18</v>
      </c>
      <c r="S5" s="9">
        <v>154.79</v>
      </c>
      <c r="T5" s="9">
        <f>P5+Q5+R5+S5</f>
        <v>691.8</v>
      </c>
      <c r="U5" s="9">
        <f>O5-T5</f>
        <v>3926.1799999999994</v>
      </c>
    </row>
    <row r="6" spans="1:21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>
        <v>80.55</v>
      </c>
      <c r="H6" s="9">
        <v>660</v>
      </c>
      <c r="I6" s="9">
        <v>250</v>
      </c>
      <c r="J6" s="9"/>
      <c r="K6" s="19">
        <f t="shared" ref="K6:K56" si="0">H6+I6+J6</f>
        <v>910</v>
      </c>
      <c r="L6" s="9"/>
      <c r="M6" s="9"/>
      <c r="N6" s="9"/>
      <c r="O6" s="9">
        <f t="shared" ref="O6:O57" si="1">D6+E6+F6+G6+K6+L6+M6+N6</f>
        <v>4508.5300000000007</v>
      </c>
      <c r="P6" s="9">
        <v>68.959999999999994</v>
      </c>
      <c r="Q6" s="9">
        <v>395.84</v>
      </c>
      <c r="R6" s="9">
        <v>0</v>
      </c>
      <c r="S6" s="9">
        <v>0</v>
      </c>
      <c r="T6" s="9">
        <f t="shared" ref="T6:T57" si="2">P6+Q6+R6+S6</f>
        <v>464.79999999999995</v>
      </c>
      <c r="U6" s="9">
        <f t="shared" ref="U6:U57" si="3">O6-T6</f>
        <v>4043.7300000000005</v>
      </c>
    </row>
    <row r="7" spans="1:21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660</v>
      </c>
      <c r="I7" s="9"/>
      <c r="J7" s="9"/>
      <c r="K7" s="19">
        <f t="shared" si="0"/>
        <v>660</v>
      </c>
      <c r="L7" s="9"/>
      <c r="M7" s="9"/>
      <c r="N7" s="9"/>
      <c r="O7" s="9">
        <f t="shared" si="1"/>
        <v>12999.48</v>
      </c>
      <c r="P7" s="9">
        <v>2314.87</v>
      </c>
      <c r="Q7" s="9">
        <v>570.88</v>
      </c>
      <c r="R7" s="9">
        <v>0</v>
      </c>
      <c r="S7" s="9">
        <v>0</v>
      </c>
      <c r="T7" s="9">
        <f t="shared" si="2"/>
        <v>2885.75</v>
      </c>
      <c r="U7" s="9">
        <f t="shared" si="3"/>
        <v>10113.73</v>
      </c>
    </row>
    <row r="8" spans="1:21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660</v>
      </c>
      <c r="I8" s="9"/>
      <c r="J8" s="9">
        <v>167.2</v>
      </c>
      <c r="K8" s="19">
        <f t="shared" si="0"/>
        <v>827.2</v>
      </c>
      <c r="L8" s="9"/>
      <c r="M8" s="9"/>
      <c r="N8" s="9"/>
      <c r="O8" s="9">
        <f t="shared" si="1"/>
        <v>5976.9299999999994</v>
      </c>
      <c r="P8" s="9">
        <v>309.79000000000002</v>
      </c>
      <c r="Q8" s="9">
        <v>566.47</v>
      </c>
      <c r="R8" s="9">
        <v>0</v>
      </c>
      <c r="S8" s="9">
        <v>167.2</v>
      </c>
      <c r="T8" s="9">
        <f t="shared" si="2"/>
        <v>1043.46</v>
      </c>
      <c r="U8" s="9">
        <f t="shared" si="3"/>
        <v>4933.4699999999993</v>
      </c>
    </row>
    <row r="9" spans="1:21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/>
      <c r="G9" s="9"/>
      <c r="H9" s="9">
        <v>660</v>
      </c>
      <c r="I9" s="9"/>
      <c r="J9" s="9">
        <v>286</v>
      </c>
      <c r="K9" s="19">
        <f t="shared" si="0"/>
        <v>946</v>
      </c>
      <c r="L9" s="9"/>
      <c r="M9" s="9"/>
      <c r="N9" s="9"/>
      <c r="O9" s="9">
        <f t="shared" si="1"/>
        <v>4463.9799999999996</v>
      </c>
      <c r="P9" s="9">
        <v>86.41</v>
      </c>
      <c r="Q9" s="9">
        <v>386.98</v>
      </c>
      <c r="R9" s="9">
        <v>35.18</v>
      </c>
      <c r="S9" s="9">
        <v>154.79</v>
      </c>
      <c r="T9" s="9">
        <f t="shared" si="2"/>
        <v>663.36</v>
      </c>
      <c r="U9" s="9">
        <f>O9-T9</f>
        <v>3800.6199999999994</v>
      </c>
    </row>
    <row r="10" spans="1:21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660</v>
      </c>
      <c r="I10" s="9"/>
      <c r="J10" s="42">
        <v>167.2</v>
      </c>
      <c r="K10" s="19">
        <f t="shared" si="0"/>
        <v>827.2</v>
      </c>
      <c r="L10" s="9"/>
      <c r="M10" s="9"/>
      <c r="N10" s="9"/>
      <c r="O10" s="9">
        <f t="shared" si="1"/>
        <v>4345.18</v>
      </c>
      <c r="P10" s="9">
        <v>113.6</v>
      </c>
      <c r="Q10" s="9">
        <v>385.95</v>
      </c>
      <c r="R10" s="9">
        <f>35.18+9.38</f>
        <v>44.56</v>
      </c>
      <c r="S10" s="9">
        <v>154.79</v>
      </c>
      <c r="T10" s="9">
        <f t="shared" si="2"/>
        <v>698.89999999999986</v>
      </c>
      <c r="U10" s="9">
        <f t="shared" si="3"/>
        <v>3646.2800000000007</v>
      </c>
    </row>
    <row r="11" spans="1:21" hidden="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660</v>
      </c>
      <c r="I11" s="9"/>
      <c r="J11" s="9">
        <v>347.6</v>
      </c>
      <c r="K11" s="19">
        <f t="shared" si="0"/>
        <v>1007.6</v>
      </c>
      <c r="L11" s="9"/>
      <c r="M11" s="9"/>
      <c r="N11" s="9"/>
      <c r="O11" s="9">
        <f t="shared" si="1"/>
        <v>2316.52</v>
      </c>
      <c r="P11" s="9">
        <v>0</v>
      </c>
      <c r="Q11" s="9">
        <v>0</v>
      </c>
      <c r="R11" s="9">
        <v>0</v>
      </c>
      <c r="S11" s="9">
        <v>0</v>
      </c>
      <c r="T11" s="9">
        <f t="shared" si="2"/>
        <v>0</v>
      </c>
      <c r="U11" s="9">
        <f t="shared" si="3"/>
        <v>2316.52</v>
      </c>
    </row>
    <row r="12" spans="1:21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660</v>
      </c>
      <c r="I12" s="9"/>
      <c r="J12" s="9">
        <v>0</v>
      </c>
      <c r="K12" s="19">
        <f t="shared" si="0"/>
        <v>660</v>
      </c>
      <c r="L12" s="12"/>
      <c r="M12" s="9"/>
      <c r="N12" s="9"/>
      <c r="O12" s="9">
        <f t="shared" si="1"/>
        <v>10055.69</v>
      </c>
      <c r="P12" s="9">
        <v>1557.46</v>
      </c>
      <c r="Q12" s="9">
        <v>570.88</v>
      </c>
      <c r="R12" s="9">
        <v>0</v>
      </c>
      <c r="S12" s="9">
        <v>0</v>
      </c>
      <c r="T12" s="9">
        <f t="shared" si="2"/>
        <v>2128.34</v>
      </c>
      <c r="U12" s="9">
        <f t="shared" si="3"/>
        <v>7927.35</v>
      </c>
    </row>
    <row r="13" spans="1:21" x14ac:dyDescent="0.25">
      <c r="A13" s="7" t="s">
        <v>26</v>
      </c>
      <c r="B13" s="7" t="s">
        <v>68</v>
      </c>
      <c r="C13" s="7" t="s">
        <v>96</v>
      </c>
      <c r="D13" s="19">
        <v>3517.98</v>
      </c>
      <c r="E13" s="9"/>
      <c r="F13" s="9"/>
      <c r="G13" s="9"/>
      <c r="H13" s="9">
        <v>660</v>
      </c>
      <c r="I13" s="9"/>
      <c r="J13" s="43">
        <v>347.6</v>
      </c>
      <c r="K13" s="19">
        <f t="shared" si="0"/>
        <v>1007.6</v>
      </c>
      <c r="L13" s="9"/>
      <c r="M13" s="9"/>
      <c r="N13" s="9"/>
      <c r="O13" s="9">
        <f t="shared" si="1"/>
        <v>4525.58</v>
      </c>
      <c r="P13" s="9">
        <v>114.85</v>
      </c>
      <c r="Q13" s="9">
        <v>386.98</v>
      </c>
      <c r="R13" s="9">
        <v>0</v>
      </c>
      <c r="S13" s="9">
        <v>154.79</v>
      </c>
      <c r="T13" s="9">
        <f t="shared" si="2"/>
        <v>656.62</v>
      </c>
      <c r="U13" s="9">
        <f t="shared" si="3"/>
        <v>3868.96</v>
      </c>
    </row>
    <row r="14" spans="1:21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540</v>
      </c>
      <c r="I14" s="9"/>
      <c r="J14" s="9">
        <v>147.6</v>
      </c>
      <c r="K14" s="19">
        <f t="shared" si="0"/>
        <v>687.6</v>
      </c>
      <c r="L14" s="9"/>
      <c r="M14" s="9"/>
      <c r="N14" s="9"/>
      <c r="O14" s="9">
        <f t="shared" si="1"/>
        <v>10083.290000000001</v>
      </c>
      <c r="P14" s="9">
        <v>1557.46</v>
      </c>
      <c r="Q14" s="9">
        <v>570.88</v>
      </c>
      <c r="R14" s="9">
        <v>0</v>
      </c>
      <c r="S14" s="9">
        <v>147.6</v>
      </c>
      <c r="T14" s="9">
        <f t="shared" si="2"/>
        <v>2275.94</v>
      </c>
      <c r="U14" s="9">
        <f t="shared" si="3"/>
        <v>7807.35</v>
      </c>
    </row>
    <row r="15" spans="1:21" hidden="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660</v>
      </c>
      <c r="I15" s="9"/>
      <c r="J15" s="19">
        <v>286</v>
      </c>
      <c r="K15" s="19">
        <f t="shared" si="0"/>
        <v>946</v>
      </c>
      <c r="L15" s="9"/>
      <c r="M15" s="9"/>
      <c r="N15" s="9"/>
      <c r="O15" s="9">
        <f t="shared" si="1"/>
        <v>2254.92</v>
      </c>
      <c r="P15" s="9">
        <v>0</v>
      </c>
      <c r="Q15" s="9">
        <v>0</v>
      </c>
      <c r="R15" s="9">
        <v>0</v>
      </c>
      <c r="S15" s="9">
        <v>0</v>
      </c>
      <c r="T15" s="9">
        <f t="shared" si="2"/>
        <v>0</v>
      </c>
      <c r="U15" s="9">
        <f t="shared" si="3"/>
        <v>2254.92</v>
      </c>
    </row>
    <row r="16" spans="1:21" x14ac:dyDescent="0.25">
      <c r="A16" s="13" t="s">
        <v>117</v>
      </c>
      <c r="B16" s="15" t="s">
        <v>75</v>
      </c>
      <c r="C16" s="15" t="s">
        <v>95</v>
      </c>
      <c r="D16" s="19">
        <v>0</v>
      </c>
      <c r="E16" s="9"/>
      <c r="F16" s="9"/>
      <c r="G16" s="9"/>
      <c r="H16" s="9">
        <v>0</v>
      </c>
      <c r="I16" s="9"/>
      <c r="J16" s="9">
        <v>0</v>
      </c>
      <c r="K16" s="19">
        <f t="shared" si="0"/>
        <v>0</v>
      </c>
      <c r="L16" s="9"/>
      <c r="M16" s="9"/>
      <c r="N16" s="9">
        <v>5426.21</v>
      </c>
      <c r="O16" s="9">
        <f t="shared" si="1"/>
        <v>5426.21</v>
      </c>
      <c r="P16" s="9">
        <v>570.71</v>
      </c>
      <c r="Q16" s="9">
        <v>0</v>
      </c>
      <c r="R16" s="9">
        <v>0</v>
      </c>
      <c r="S16" s="9">
        <v>0</v>
      </c>
      <c r="T16" s="9">
        <f t="shared" si="2"/>
        <v>570.71</v>
      </c>
      <c r="U16" s="9">
        <f t="shared" si="3"/>
        <v>4855.5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/>
      <c r="F17" s="9"/>
      <c r="G17" s="9"/>
      <c r="H17" s="9">
        <v>660</v>
      </c>
      <c r="I17" s="9"/>
      <c r="J17" s="9">
        <v>347.6</v>
      </c>
      <c r="K17" s="19">
        <f t="shared" si="0"/>
        <v>1007.6</v>
      </c>
      <c r="L17" s="9"/>
      <c r="M17" s="9"/>
      <c r="N17" s="9"/>
      <c r="O17" s="9">
        <f t="shared" si="1"/>
        <v>4525.58</v>
      </c>
      <c r="P17" s="9">
        <v>114.85</v>
      </c>
      <c r="Q17" s="9">
        <v>386.98</v>
      </c>
      <c r="R17" s="9">
        <v>35.18</v>
      </c>
      <c r="S17" s="9">
        <v>154.79</v>
      </c>
      <c r="T17" s="9">
        <f t="shared" si="2"/>
        <v>691.8</v>
      </c>
      <c r="U17" s="9">
        <f>O17-T17</f>
        <v>3833.7799999999997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6973.3</v>
      </c>
      <c r="E18" s="9">
        <v>976.79</v>
      </c>
      <c r="F18" s="9"/>
      <c r="G18" s="9"/>
      <c r="H18" s="9">
        <v>570</v>
      </c>
      <c r="I18" s="9"/>
      <c r="J18" s="9">
        <v>155.80000000000001</v>
      </c>
      <c r="K18" s="19">
        <f t="shared" si="0"/>
        <v>725.8</v>
      </c>
      <c r="L18" s="9">
        <v>325.60000000000002</v>
      </c>
      <c r="M18" s="9"/>
      <c r="N18" s="9"/>
      <c r="O18" s="9">
        <f t="shared" si="1"/>
        <v>9001.49</v>
      </c>
      <c r="P18" s="9">
        <v>891.31</v>
      </c>
      <c r="Q18" s="9">
        <v>570.88</v>
      </c>
      <c r="R18" s="9">
        <v>0</v>
      </c>
      <c r="S18" s="9">
        <v>155.80000000000001</v>
      </c>
      <c r="T18" s="9">
        <f t="shared" si="2"/>
        <v>1617.99</v>
      </c>
      <c r="U18" s="9">
        <f t="shared" si="3"/>
        <v>7383.5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660</v>
      </c>
      <c r="I19" s="9"/>
      <c r="J19" s="43"/>
      <c r="K19" s="19">
        <f t="shared" si="0"/>
        <v>660</v>
      </c>
      <c r="L19" s="9"/>
      <c r="M19" s="9"/>
      <c r="N19" s="9"/>
      <c r="O19" s="9">
        <f t="shared" si="1"/>
        <v>8706.119999999999</v>
      </c>
      <c r="P19" s="9">
        <v>1186.33</v>
      </c>
      <c r="Q19" s="9">
        <v>570.88</v>
      </c>
      <c r="R19" s="9">
        <v>0</v>
      </c>
      <c r="S19" s="9">
        <v>0</v>
      </c>
      <c r="T19" s="9">
        <f t="shared" si="2"/>
        <v>1757.21</v>
      </c>
      <c r="U19" s="9">
        <f t="shared" si="3"/>
        <v>6948.9099999999989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660</v>
      </c>
      <c r="I20" s="9"/>
      <c r="J20" s="9">
        <v>0</v>
      </c>
      <c r="K20" s="19">
        <f t="shared" si="0"/>
        <v>660</v>
      </c>
      <c r="L20" s="9"/>
      <c r="M20" s="9"/>
      <c r="N20" s="9"/>
      <c r="O20" s="9">
        <f t="shared" si="1"/>
        <v>12999.48</v>
      </c>
      <c r="P20" s="9">
        <v>2367.0100000000002</v>
      </c>
      <c r="Q20" s="9">
        <v>570.88</v>
      </c>
      <c r="R20" s="9">
        <v>0</v>
      </c>
      <c r="S20" s="9">
        <v>0</v>
      </c>
      <c r="T20" s="9">
        <f t="shared" si="2"/>
        <v>2937.8900000000003</v>
      </c>
      <c r="U20" s="9">
        <f t="shared" si="3"/>
        <v>10061.59</v>
      </c>
    </row>
    <row r="21" spans="1:21" hidden="1" x14ac:dyDescent="0.25">
      <c r="A21" s="6" t="s">
        <v>33</v>
      </c>
      <c r="B21" s="7" t="s">
        <v>72</v>
      </c>
      <c r="C21" s="7" t="s">
        <v>100</v>
      </c>
      <c r="D21" s="19">
        <v>1308.92</v>
      </c>
      <c r="E21" s="9"/>
      <c r="F21" s="9"/>
      <c r="G21" s="9"/>
      <c r="H21" s="9">
        <v>660</v>
      </c>
      <c r="I21" s="9"/>
      <c r="J21" s="9">
        <v>180.4</v>
      </c>
      <c r="K21" s="19">
        <f t="shared" si="0"/>
        <v>840.4</v>
      </c>
      <c r="L21" s="9"/>
      <c r="M21" s="9"/>
      <c r="N21" s="9"/>
      <c r="O21" s="9">
        <f t="shared" si="1"/>
        <v>2149.3200000000002</v>
      </c>
      <c r="P21" s="9">
        <v>0</v>
      </c>
      <c r="Q21" s="9">
        <v>0</v>
      </c>
      <c r="R21" s="9">
        <v>0</v>
      </c>
      <c r="S21" s="9">
        <v>0</v>
      </c>
      <c r="T21" s="9">
        <f t="shared" si="2"/>
        <v>0</v>
      </c>
      <c r="U21" s="9">
        <f t="shared" si="3"/>
        <v>2149.3200000000002</v>
      </c>
    </row>
    <row r="22" spans="1:21" x14ac:dyDescent="0.25">
      <c r="A22" s="6" t="s">
        <v>34</v>
      </c>
      <c r="B22" s="16" t="s">
        <v>79</v>
      </c>
      <c r="C22" s="7" t="s">
        <v>96</v>
      </c>
      <c r="D22" s="19">
        <v>8815.3700000000008</v>
      </c>
      <c r="E22" s="9">
        <v>3745</v>
      </c>
      <c r="F22" s="9"/>
      <c r="G22" s="9"/>
      <c r="H22" s="9">
        <v>360</v>
      </c>
      <c r="I22" s="9"/>
      <c r="J22" s="43">
        <v>182</v>
      </c>
      <c r="K22" s="19">
        <f t="shared" si="0"/>
        <v>542</v>
      </c>
      <c r="L22" s="9">
        <v>1837.38</v>
      </c>
      <c r="M22" s="19"/>
      <c r="N22" s="9"/>
      <c r="O22" s="9">
        <f t="shared" si="1"/>
        <v>14939.75</v>
      </c>
      <c r="P22" s="9">
        <v>1532.9</v>
      </c>
      <c r="Q22" s="9">
        <v>570.88</v>
      </c>
      <c r="R22" s="9">
        <v>0</v>
      </c>
      <c r="S22" s="9">
        <v>182</v>
      </c>
      <c r="T22" s="9">
        <f t="shared" si="2"/>
        <v>2285.7800000000002</v>
      </c>
      <c r="U22" s="9">
        <f t="shared" si="3"/>
        <v>12653.97</v>
      </c>
    </row>
    <row r="23" spans="1:21" x14ac:dyDescent="0.25">
      <c r="A23" s="6" t="s">
        <v>35</v>
      </c>
      <c r="B23" s="7" t="s">
        <v>80</v>
      </c>
      <c r="C23" s="7" t="s">
        <v>101</v>
      </c>
      <c r="D23" s="19">
        <v>3517.98</v>
      </c>
      <c r="E23" s="9"/>
      <c r="F23" s="9"/>
      <c r="G23" s="9"/>
      <c r="H23" s="9">
        <v>660</v>
      </c>
      <c r="I23" s="9"/>
      <c r="J23" s="9">
        <v>0</v>
      </c>
      <c r="K23" s="19">
        <f t="shared" si="0"/>
        <v>660</v>
      </c>
      <c r="L23" s="9"/>
      <c r="M23" s="9"/>
      <c r="N23" s="9"/>
      <c r="O23" s="9">
        <f t="shared" si="1"/>
        <v>4177.9799999999996</v>
      </c>
      <c r="P23" s="9">
        <v>114.07</v>
      </c>
      <c r="Q23" s="9">
        <v>386.33</v>
      </c>
      <c r="R23" s="9">
        <v>5.86</v>
      </c>
      <c r="S23" s="9"/>
      <c r="T23" s="9">
        <f t="shared" si="2"/>
        <v>506.26</v>
      </c>
      <c r="U23" s="9">
        <f t="shared" si="3"/>
        <v>3671.7199999999993</v>
      </c>
    </row>
    <row r="24" spans="1:21" x14ac:dyDescent="0.25">
      <c r="A24" s="6" t="s">
        <v>36</v>
      </c>
      <c r="B24" s="7" t="s">
        <v>68</v>
      </c>
      <c r="C24" s="7" t="s">
        <v>92</v>
      </c>
      <c r="D24" s="19">
        <v>3517.98</v>
      </c>
      <c r="E24" s="9"/>
      <c r="F24" s="9"/>
      <c r="G24" s="9"/>
      <c r="H24" s="9">
        <v>660</v>
      </c>
      <c r="I24" s="9"/>
      <c r="J24" s="9"/>
      <c r="K24" s="19">
        <f t="shared" si="0"/>
        <v>660</v>
      </c>
      <c r="L24" s="9"/>
      <c r="M24" s="9"/>
      <c r="N24" s="9"/>
      <c r="O24" s="9">
        <f t="shared" si="1"/>
        <v>4177.9799999999996</v>
      </c>
      <c r="P24" s="9">
        <v>112.38</v>
      </c>
      <c r="Q24" s="9">
        <v>384.95</v>
      </c>
      <c r="R24" s="9">
        <v>18.47</v>
      </c>
      <c r="S24" s="9">
        <v>0</v>
      </c>
      <c r="T24" s="9">
        <f t="shared" si="2"/>
        <v>515.79999999999995</v>
      </c>
      <c r="U24" s="9">
        <f>O24-T24</f>
        <v>3662.1799999999994</v>
      </c>
    </row>
    <row r="25" spans="1:21" x14ac:dyDescent="0.25">
      <c r="A25" s="6" t="s">
        <v>37</v>
      </c>
      <c r="B25" s="7" t="s">
        <v>77</v>
      </c>
      <c r="C25" s="7" t="s">
        <v>96</v>
      </c>
      <c r="D25" s="19">
        <v>8046.12</v>
      </c>
      <c r="E25" s="9"/>
      <c r="F25" s="9"/>
      <c r="G25" s="9"/>
      <c r="H25" s="9">
        <v>660</v>
      </c>
      <c r="I25" s="9"/>
      <c r="J25" s="43"/>
      <c r="K25" s="19">
        <f t="shared" si="0"/>
        <v>660</v>
      </c>
      <c r="L25" s="9"/>
      <c r="M25" s="9"/>
      <c r="N25" s="9"/>
      <c r="O25" s="9">
        <f t="shared" si="1"/>
        <v>8706.119999999999</v>
      </c>
      <c r="P25" s="9">
        <v>1186.33</v>
      </c>
      <c r="Q25" s="9">
        <v>570.88</v>
      </c>
      <c r="R25" s="9">
        <v>0</v>
      </c>
      <c r="S25" s="9">
        <v>0</v>
      </c>
      <c r="T25" s="9">
        <f t="shared" si="2"/>
        <v>1757.21</v>
      </c>
      <c r="U25" s="9">
        <f t="shared" si="3"/>
        <v>6948.9099999999989</v>
      </c>
    </row>
    <row r="26" spans="1:21" x14ac:dyDescent="0.25">
      <c r="A26" s="6" t="s">
        <v>38</v>
      </c>
      <c r="B26" s="17" t="s">
        <v>81</v>
      </c>
      <c r="C26" s="7" t="s">
        <v>98</v>
      </c>
      <c r="D26" s="19">
        <f>3169.39+1358.31</f>
        <v>4527.7</v>
      </c>
      <c r="E26" s="9"/>
      <c r="F26" s="9"/>
      <c r="G26" s="9"/>
      <c r="H26" s="9">
        <v>780</v>
      </c>
      <c r="I26" s="9"/>
      <c r="J26" s="9">
        <v>0</v>
      </c>
      <c r="K26" s="19">
        <f t="shared" si="0"/>
        <v>780</v>
      </c>
      <c r="L26" s="9"/>
      <c r="M26" s="9"/>
      <c r="N26" s="9"/>
      <c r="O26" s="9">
        <f t="shared" si="1"/>
        <v>5307.7</v>
      </c>
      <c r="P26" s="9">
        <f>68.76+201.78</f>
        <v>270.54000000000002</v>
      </c>
      <c r="Q26" s="9">
        <f>348.63+149.42</f>
        <v>498.04999999999995</v>
      </c>
      <c r="R26" s="9">
        <v>0</v>
      </c>
      <c r="S26" s="9">
        <v>0</v>
      </c>
      <c r="T26" s="9">
        <f t="shared" si="2"/>
        <v>768.58999999999992</v>
      </c>
      <c r="U26" s="9">
        <f t="shared" si="3"/>
        <v>4539.1099999999997</v>
      </c>
    </row>
    <row r="27" spans="1:21" hidden="1" x14ac:dyDescent="0.25">
      <c r="A27" s="6" t="s">
        <v>39</v>
      </c>
      <c r="B27" s="7" t="s">
        <v>72</v>
      </c>
      <c r="C27" s="7" t="s">
        <v>106</v>
      </c>
      <c r="D27" s="19">
        <v>1396.18</v>
      </c>
      <c r="E27" s="9"/>
      <c r="F27" s="9"/>
      <c r="G27" s="9"/>
      <c r="H27" s="9">
        <v>660</v>
      </c>
      <c r="I27" s="9"/>
      <c r="J27" s="43">
        <v>286</v>
      </c>
      <c r="K27" s="19">
        <f t="shared" si="0"/>
        <v>946</v>
      </c>
      <c r="L27" s="9"/>
      <c r="M27" s="9"/>
      <c r="N27" s="9"/>
      <c r="O27" s="9">
        <f t="shared" si="1"/>
        <v>2342.1800000000003</v>
      </c>
      <c r="P27" s="9">
        <v>0</v>
      </c>
      <c r="Q27" s="9">
        <v>0</v>
      </c>
      <c r="R27" s="9">
        <v>0</v>
      </c>
      <c r="S27" s="9">
        <v>156</v>
      </c>
      <c r="T27" s="9">
        <f t="shared" si="2"/>
        <v>156</v>
      </c>
      <c r="U27" s="9">
        <f t="shared" si="3"/>
        <v>2186.1800000000003</v>
      </c>
    </row>
    <row r="28" spans="1:21" x14ac:dyDescent="0.25">
      <c r="A28" s="13" t="s">
        <v>40</v>
      </c>
      <c r="B28" s="15" t="s">
        <v>69</v>
      </c>
      <c r="C28" s="7" t="s">
        <v>100</v>
      </c>
      <c r="D28" s="19">
        <v>3517.98</v>
      </c>
      <c r="E28" s="9"/>
      <c r="F28" s="9"/>
      <c r="G28" s="9"/>
      <c r="H28" s="9">
        <v>660</v>
      </c>
      <c r="I28" s="9"/>
      <c r="J28" s="9">
        <v>286</v>
      </c>
      <c r="K28" s="19">
        <f t="shared" si="0"/>
        <v>946</v>
      </c>
      <c r="L28" s="9"/>
      <c r="M28" s="9"/>
      <c r="N28" s="9"/>
      <c r="O28" s="9">
        <f t="shared" si="1"/>
        <v>4463.9799999999996</v>
      </c>
      <c r="P28" s="9">
        <v>114.85</v>
      </c>
      <c r="Q28" s="9">
        <v>386.98</v>
      </c>
      <c r="R28" s="9">
        <v>0</v>
      </c>
      <c r="S28" s="9">
        <v>154.79</v>
      </c>
      <c r="T28" s="9">
        <f t="shared" si="2"/>
        <v>656.62</v>
      </c>
      <c r="U28" s="9">
        <f t="shared" si="3"/>
        <v>3807.3599999999997</v>
      </c>
    </row>
    <row r="29" spans="1:21" x14ac:dyDescent="0.25">
      <c r="A29" s="6" t="s">
        <v>41</v>
      </c>
      <c r="B29" s="7" t="s">
        <v>77</v>
      </c>
      <c r="C29" s="7" t="s">
        <v>96</v>
      </c>
      <c r="D29" s="19">
        <v>8046.12</v>
      </c>
      <c r="E29" s="9"/>
      <c r="F29" s="9"/>
      <c r="G29" s="9"/>
      <c r="H29" s="9">
        <v>660</v>
      </c>
      <c r="I29" s="9"/>
      <c r="J29" s="43"/>
      <c r="K29" s="19">
        <f t="shared" si="0"/>
        <v>660</v>
      </c>
      <c r="L29" s="9"/>
      <c r="M29" s="9"/>
      <c r="N29" s="9"/>
      <c r="O29" s="9">
        <f t="shared" si="1"/>
        <v>8706.119999999999</v>
      </c>
      <c r="P29" s="9">
        <v>1186.33</v>
      </c>
      <c r="Q29" s="9">
        <v>570.88</v>
      </c>
      <c r="R29" s="9">
        <v>0</v>
      </c>
      <c r="S29" s="9">
        <v>0</v>
      </c>
      <c r="T29" s="9">
        <f t="shared" si="2"/>
        <v>1757.21</v>
      </c>
      <c r="U29" s="9">
        <f t="shared" si="3"/>
        <v>6948.9099999999989</v>
      </c>
    </row>
    <row r="30" spans="1:21" x14ac:dyDescent="0.25">
      <c r="A30" s="6" t="s">
        <v>42</v>
      </c>
      <c r="B30" s="7" t="s">
        <v>69</v>
      </c>
      <c r="C30" s="7" t="s">
        <v>100</v>
      </c>
      <c r="D30" s="19">
        <v>3517.98</v>
      </c>
      <c r="E30" s="9"/>
      <c r="F30" s="9"/>
      <c r="G30" s="9"/>
      <c r="H30" s="9">
        <v>660</v>
      </c>
      <c r="I30" s="9">
        <v>250</v>
      </c>
      <c r="J30" s="9">
        <v>286</v>
      </c>
      <c r="K30" s="19">
        <f t="shared" si="0"/>
        <v>1196</v>
      </c>
      <c r="L30" s="9"/>
      <c r="M30" s="9"/>
      <c r="N30" s="9"/>
      <c r="O30" s="9">
        <f t="shared" si="1"/>
        <v>4713.9799999999996</v>
      </c>
      <c r="P30" s="9">
        <v>114.85</v>
      </c>
      <c r="Q30" s="9">
        <v>386.98</v>
      </c>
      <c r="R30" s="9">
        <v>0</v>
      </c>
      <c r="S30" s="9">
        <v>154.79</v>
      </c>
      <c r="T30" s="9">
        <f t="shared" si="2"/>
        <v>656.62</v>
      </c>
      <c r="U30" s="9">
        <f t="shared" si="3"/>
        <v>4057.3599999999997</v>
      </c>
    </row>
    <row r="31" spans="1:21" x14ac:dyDescent="0.25">
      <c r="A31" s="6" t="s">
        <v>43</v>
      </c>
      <c r="B31" s="7" t="s">
        <v>76</v>
      </c>
      <c r="C31" s="7" t="s">
        <v>97</v>
      </c>
      <c r="D31" s="19">
        <v>8046.12</v>
      </c>
      <c r="E31" s="12"/>
      <c r="F31" s="9"/>
      <c r="G31" s="9"/>
      <c r="H31" s="9">
        <v>660</v>
      </c>
      <c r="I31" s="9"/>
      <c r="J31" s="9">
        <v>180.4</v>
      </c>
      <c r="K31" s="19">
        <f t="shared" si="0"/>
        <v>840.4</v>
      </c>
      <c r="L31" s="9"/>
      <c r="M31" s="9"/>
      <c r="N31" s="9"/>
      <c r="O31" s="9">
        <f t="shared" si="1"/>
        <v>8886.52</v>
      </c>
      <c r="P31" s="9">
        <v>1180.06</v>
      </c>
      <c r="Q31" s="9">
        <v>570.88</v>
      </c>
      <c r="R31" s="9">
        <v>22.8</v>
      </c>
      <c r="S31" s="9">
        <v>180.4</v>
      </c>
      <c r="T31" s="9">
        <f t="shared" si="2"/>
        <v>1954.14</v>
      </c>
      <c r="U31" s="9">
        <f t="shared" si="3"/>
        <v>6932.38</v>
      </c>
    </row>
    <row r="32" spans="1:21" x14ac:dyDescent="0.25">
      <c r="A32" s="7" t="s">
        <v>44</v>
      </c>
      <c r="B32" s="7" t="s">
        <v>69</v>
      </c>
      <c r="C32" s="7" t="s">
        <v>100</v>
      </c>
      <c r="D32" s="19">
        <v>3517.98</v>
      </c>
      <c r="E32" s="9"/>
      <c r="F32" s="9"/>
      <c r="G32" s="9"/>
      <c r="H32" s="9">
        <v>660</v>
      </c>
      <c r="I32" s="9"/>
      <c r="J32" s="9">
        <v>459.8</v>
      </c>
      <c r="K32" s="19">
        <f t="shared" si="0"/>
        <v>1119.8</v>
      </c>
      <c r="L32" s="9"/>
      <c r="M32" s="9"/>
      <c r="N32" s="9"/>
      <c r="O32" s="9">
        <f t="shared" si="1"/>
        <v>4637.78</v>
      </c>
      <c r="P32" s="9">
        <v>114.85</v>
      </c>
      <c r="Q32" s="9">
        <v>386.98</v>
      </c>
      <c r="R32" s="9">
        <v>0</v>
      </c>
      <c r="S32" s="9">
        <v>154.79</v>
      </c>
      <c r="T32" s="9">
        <f t="shared" si="2"/>
        <v>656.62</v>
      </c>
      <c r="U32" s="9">
        <f t="shared" si="3"/>
        <v>3981.16</v>
      </c>
    </row>
    <row r="33" spans="1:21" x14ac:dyDescent="0.25">
      <c r="A33" s="7" t="s">
        <v>45</v>
      </c>
      <c r="B33" s="7" t="s">
        <v>82</v>
      </c>
      <c r="C33" s="7" t="s">
        <v>97</v>
      </c>
      <c r="D33" s="19">
        <v>12339.48</v>
      </c>
      <c r="E33" s="9"/>
      <c r="F33" s="9"/>
      <c r="G33" s="9"/>
      <c r="H33" s="9">
        <v>660</v>
      </c>
      <c r="I33" s="9">
        <v>500</v>
      </c>
      <c r="J33" s="9">
        <v>1168.6400000000001</v>
      </c>
      <c r="K33" s="19">
        <f t="shared" si="0"/>
        <v>2328.6400000000003</v>
      </c>
      <c r="L33" s="9"/>
      <c r="M33" s="9"/>
      <c r="N33" s="9"/>
      <c r="O33" s="9">
        <f t="shared" si="1"/>
        <v>14668.119999999999</v>
      </c>
      <c r="P33" s="9">
        <v>2367.0100000000002</v>
      </c>
      <c r="Q33" s="9">
        <v>570.88</v>
      </c>
      <c r="R33" s="9">
        <v>0</v>
      </c>
      <c r="S33" s="9">
        <v>542.94000000000005</v>
      </c>
      <c r="T33" s="9">
        <f t="shared" si="2"/>
        <v>3480.8300000000004</v>
      </c>
      <c r="U33" s="9">
        <f t="shared" si="3"/>
        <v>11187.289999999999</v>
      </c>
    </row>
    <row r="34" spans="1:21" x14ac:dyDescent="0.25">
      <c r="A34" s="7" t="s">
        <v>46</v>
      </c>
      <c r="B34" s="7" t="s">
        <v>83</v>
      </c>
      <c r="C34" s="7" t="s">
        <v>94</v>
      </c>
      <c r="D34" s="19">
        <v>1758.99</v>
      </c>
      <c r="E34" s="9">
        <v>1758.99</v>
      </c>
      <c r="F34" s="9"/>
      <c r="G34" s="9">
        <v>15.79</v>
      </c>
      <c r="H34" s="9">
        <v>330</v>
      </c>
      <c r="I34" s="9"/>
      <c r="J34" s="9">
        <v>143</v>
      </c>
      <c r="K34" s="19">
        <f t="shared" si="0"/>
        <v>473</v>
      </c>
      <c r="L34" s="9">
        <v>586.33000000000004</v>
      </c>
      <c r="M34" s="9"/>
      <c r="N34" s="9"/>
      <c r="O34" s="9">
        <f t="shared" si="1"/>
        <v>4593.1000000000004</v>
      </c>
      <c r="P34" s="9">
        <v>17.27</v>
      </c>
      <c r="Q34" s="9">
        <v>451.47</v>
      </c>
      <c r="R34" s="9">
        <v>0</v>
      </c>
      <c r="S34" s="9">
        <v>77.400000000000006</v>
      </c>
      <c r="T34" s="9">
        <f t="shared" si="2"/>
        <v>546.14</v>
      </c>
      <c r="U34" s="9">
        <f t="shared" si="3"/>
        <v>4046.9600000000005</v>
      </c>
    </row>
    <row r="35" spans="1:21" x14ac:dyDescent="0.25">
      <c r="A35" s="7" t="s">
        <v>47</v>
      </c>
      <c r="B35" s="7" t="s">
        <v>84</v>
      </c>
      <c r="C35" s="7" t="s">
        <v>95</v>
      </c>
      <c r="D35" s="19">
        <v>12339.48</v>
      </c>
      <c r="E35" s="9"/>
      <c r="F35" s="9"/>
      <c r="G35" s="9"/>
      <c r="H35" s="9">
        <v>660</v>
      </c>
      <c r="I35" s="9"/>
      <c r="J35" s="9">
        <v>167.2</v>
      </c>
      <c r="K35" s="19">
        <f t="shared" si="0"/>
        <v>827.2</v>
      </c>
      <c r="L35" s="9"/>
      <c r="M35" s="9"/>
      <c r="N35" s="9"/>
      <c r="O35" s="9">
        <f t="shared" si="1"/>
        <v>13166.68</v>
      </c>
      <c r="P35" s="9">
        <v>2367.0100000000002</v>
      </c>
      <c r="Q35" s="9">
        <v>570.88</v>
      </c>
      <c r="R35" s="9">
        <v>0</v>
      </c>
      <c r="S35" s="9">
        <v>167.2</v>
      </c>
      <c r="T35" s="9">
        <f t="shared" si="2"/>
        <v>3105.09</v>
      </c>
      <c r="U35" s="9">
        <f t="shared" si="3"/>
        <v>10061.59</v>
      </c>
    </row>
    <row r="36" spans="1:21" hidden="1" x14ac:dyDescent="0.25">
      <c r="A36" s="7" t="s">
        <v>119</v>
      </c>
      <c r="B36" s="7" t="s">
        <v>72</v>
      </c>
      <c r="C36" s="7" t="s">
        <v>102</v>
      </c>
      <c r="D36" s="19">
        <v>1308.92</v>
      </c>
      <c r="E36" s="9"/>
      <c r="F36" s="9"/>
      <c r="G36" s="9"/>
      <c r="H36" s="9">
        <v>660</v>
      </c>
      <c r="I36" s="9"/>
      <c r="J36" s="19">
        <v>167.2</v>
      </c>
      <c r="K36" s="19">
        <f t="shared" si="0"/>
        <v>827.2</v>
      </c>
      <c r="L36" s="9"/>
      <c r="M36" s="9"/>
      <c r="N36" s="9"/>
      <c r="O36" s="9">
        <f t="shared" si="1"/>
        <v>2136.12</v>
      </c>
      <c r="P36" s="9">
        <v>0</v>
      </c>
      <c r="Q36" s="9">
        <v>0</v>
      </c>
      <c r="R36" s="9">
        <v>0</v>
      </c>
      <c r="S36" s="9">
        <v>0</v>
      </c>
      <c r="T36" s="9">
        <f t="shared" si="2"/>
        <v>0</v>
      </c>
      <c r="U36" s="9">
        <f t="shared" si="3"/>
        <v>2136.12</v>
      </c>
    </row>
    <row r="37" spans="1:21" x14ac:dyDescent="0.25">
      <c r="A37" s="7" t="s">
        <v>48</v>
      </c>
      <c r="B37" s="7" t="s">
        <v>85</v>
      </c>
      <c r="C37" s="7" t="s">
        <v>102</v>
      </c>
      <c r="D37" s="19">
        <v>9395.69</v>
      </c>
      <c r="E37" s="9"/>
      <c r="F37" s="9"/>
      <c r="G37" s="9"/>
      <c r="H37" s="9">
        <v>660</v>
      </c>
      <c r="I37" s="9"/>
      <c r="J37" s="9">
        <v>0</v>
      </c>
      <c r="K37" s="19">
        <f t="shared" si="0"/>
        <v>660</v>
      </c>
      <c r="L37" s="9"/>
      <c r="M37" s="9"/>
      <c r="N37" s="9"/>
      <c r="O37" s="9">
        <f t="shared" si="1"/>
        <v>10055.69</v>
      </c>
      <c r="P37" s="9">
        <v>1557.46</v>
      </c>
      <c r="Q37" s="9">
        <v>570.88</v>
      </c>
      <c r="R37" s="9">
        <v>0</v>
      </c>
      <c r="S37" s="9">
        <v>0</v>
      </c>
      <c r="T37" s="9">
        <f t="shared" si="2"/>
        <v>2128.34</v>
      </c>
      <c r="U37" s="9">
        <f t="shared" si="3"/>
        <v>7927.35</v>
      </c>
    </row>
    <row r="38" spans="1:21" x14ac:dyDescent="0.25">
      <c r="A38" s="7" t="s">
        <v>49</v>
      </c>
      <c r="B38" s="7" t="s">
        <v>86</v>
      </c>
      <c r="C38" s="7" t="s">
        <v>102</v>
      </c>
      <c r="D38" s="19">
        <v>6565.17</v>
      </c>
      <c r="E38" s="9">
        <v>206.12</v>
      </c>
      <c r="F38" s="9"/>
      <c r="G38" s="9">
        <v>63.39</v>
      </c>
      <c r="H38" s="9">
        <v>600</v>
      </c>
      <c r="I38" s="9"/>
      <c r="J38" s="9">
        <v>172.2</v>
      </c>
      <c r="K38" s="19">
        <f t="shared" si="0"/>
        <v>772.2</v>
      </c>
      <c r="L38" s="9">
        <v>68.709999999999994</v>
      </c>
      <c r="M38" s="9"/>
      <c r="N38" s="9"/>
      <c r="O38" s="9">
        <f t="shared" si="1"/>
        <v>7675.59</v>
      </c>
      <c r="P38" s="9">
        <v>796.5</v>
      </c>
      <c r="Q38" s="9">
        <v>570.88</v>
      </c>
      <c r="R38" s="9">
        <v>0</v>
      </c>
      <c r="S38" s="9">
        <v>172.2</v>
      </c>
      <c r="T38" s="9">
        <f t="shared" si="2"/>
        <v>1539.5800000000002</v>
      </c>
      <c r="U38" s="9">
        <f t="shared" si="3"/>
        <v>6136.01</v>
      </c>
    </row>
    <row r="39" spans="1:21" x14ac:dyDescent="0.25">
      <c r="A39" s="7" t="s">
        <v>50</v>
      </c>
      <c r="B39" s="7" t="s">
        <v>80</v>
      </c>
      <c r="C39" s="7" t="s">
        <v>101</v>
      </c>
      <c r="D39" s="19">
        <v>3517.98</v>
      </c>
      <c r="E39" s="9"/>
      <c r="F39" s="9"/>
      <c r="G39" s="9">
        <v>7.19</v>
      </c>
      <c r="H39" s="9">
        <v>660</v>
      </c>
      <c r="I39" s="9"/>
      <c r="J39" s="9">
        <v>222.2</v>
      </c>
      <c r="K39" s="19">
        <f t="shared" si="0"/>
        <v>882.2</v>
      </c>
      <c r="L39" s="9"/>
      <c r="M39" s="9"/>
      <c r="N39" s="9"/>
      <c r="O39" s="9">
        <f t="shared" si="1"/>
        <v>4407.37</v>
      </c>
      <c r="P39" s="9">
        <v>115.81</v>
      </c>
      <c r="Q39" s="9">
        <v>387.77</v>
      </c>
      <c r="R39" s="9">
        <v>0</v>
      </c>
      <c r="S39" s="9">
        <v>154.79</v>
      </c>
      <c r="T39" s="9">
        <f t="shared" si="2"/>
        <v>658.37</v>
      </c>
      <c r="U39" s="9">
        <f t="shared" si="3"/>
        <v>3749</v>
      </c>
    </row>
    <row r="40" spans="1:21" x14ac:dyDescent="0.25">
      <c r="A40" s="6" t="s">
        <v>51</v>
      </c>
      <c r="B40" s="7" t="s">
        <v>68</v>
      </c>
      <c r="C40" s="7" t="s">
        <v>92</v>
      </c>
      <c r="D40" s="19">
        <v>3517.98</v>
      </c>
      <c r="E40" s="9"/>
      <c r="F40" s="9"/>
      <c r="G40" s="9"/>
      <c r="H40" s="9">
        <v>660</v>
      </c>
      <c r="I40" s="9"/>
      <c r="J40" s="9">
        <v>286</v>
      </c>
      <c r="K40" s="19">
        <f t="shared" si="0"/>
        <v>946</v>
      </c>
      <c r="L40" s="12"/>
      <c r="M40" s="9"/>
      <c r="N40" s="9"/>
      <c r="O40" s="9">
        <f t="shared" si="1"/>
        <v>4463.9799999999996</v>
      </c>
      <c r="P40" s="9">
        <v>113.99</v>
      </c>
      <c r="Q40" s="9">
        <v>386.27</v>
      </c>
      <c r="R40" s="9">
        <v>41.63</v>
      </c>
      <c r="S40" s="9">
        <v>154.79</v>
      </c>
      <c r="T40" s="9">
        <f t="shared" si="2"/>
        <v>696.68</v>
      </c>
      <c r="U40" s="9">
        <f>O40-T40</f>
        <v>3767.2999999999997</v>
      </c>
    </row>
    <row r="41" spans="1:21" hidden="1" x14ac:dyDescent="0.25">
      <c r="A41" s="6" t="s">
        <v>52</v>
      </c>
      <c r="B41" s="7" t="s">
        <v>72</v>
      </c>
      <c r="C41" s="7" t="s">
        <v>98</v>
      </c>
      <c r="D41" s="19">
        <v>2312.4299999999998</v>
      </c>
      <c r="E41" s="9"/>
      <c r="F41" s="9"/>
      <c r="G41" s="9"/>
      <c r="H41" s="9">
        <v>660</v>
      </c>
      <c r="I41" s="9"/>
      <c r="J41" s="9">
        <v>355.3</v>
      </c>
      <c r="K41" s="19">
        <f t="shared" si="0"/>
        <v>1015.3</v>
      </c>
      <c r="L41" s="9"/>
      <c r="M41" s="9"/>
      <c r="N41" s="9"/>
      <c r="O41" s="9">
        <f t="shared" si="1"/>
        <v>3327.7299999999996</v>
      </c>
      <c r="P41" s="9">
        <v>0</v>
      </c>
      <c r="Q41" s="9">
        <v>0</v>
      </c>
      <c r="R41" s="9">
        <v>0</v>
      </c>
      <c r="S41" s="9">
        <v>0</v>
      </c>
      <c r="T41" s="9">
        <f t="shared" si="2"/>
        <v>0</v>
      </c>
      <c r="U41" s="9">
        <f t="shared" si="3"/>
        <v>3327.7299999999996</v>
      </c>
    </row>
    <row r="42" spans="1:21" x14ac:dyDescent="0.25">
      <c r="A42" s="7" t="s">
        <v>53</v>
      </c>
      <c r="B42" s="7" t="s">
        <v>68</v>
      </c>
      <c r="C42" s="7" t="s">
        <v>92</v>
      </c>
      <c r="D42" s="19">
        <v>3517.98</v>
      </c>
      <c r="E42" s="9"/>
      <c r="F42" s="9"/>
      <c r="G42" s="9"/>
      <c r="H42" s="9">
        <v>660</v>
      </c>
      <c r="I42" s="9"/>
      <c r="J42" s="9"/>
      <c r="K42" s="19">
        <f t="shared" si="0"/>
        <v>660</v>
      </c>
      <c r="L42" s="9"/>
      <c r="M42" s="9"/>
      <c r="N42" s="9"/>
      <c r="O42" s="9">
        <f t="shared" si="1"/>
        <v>4177.9799999999996</v>
      </c>
      <c r="P42" s="9">
        <v>113.6</v>
      </c>
      <c r="Q42" s="9">
        <v>385.95</v>
      </c>
      <c r="R42" s="9">
        <v>44.56</v>
      </c>
      <c r="S42" s="9">
        <v>0</v>
      </c>
      <c r="T42" s="9">
        <f t="shared" si="2"/>
        <v>544.1099999999999</v>
      </c>
      <c r="U42" s="9">
        <f>O42-T42</f>
        <v>3633.87</v>
      </c>
    </row>
    <row r="43" spans="1:21" x14ac:dyDescent="0.25">
      <c r="A43" s="7" t="s">
        <v>54</v>
      </c>
      <c r="B43" s="7" t="s">
        <v>76</v>
      </c>
      <c r="C43" s="7" t="s">
        <v>97</v>
      </c>
      <c r="D43" s="19">
        <v>8046.12</v>
      </c>
      <c r="E43" s="9"/>
      <c r="F43" s="9"/>
      <c r="G43" s="9"/>
      <c r="H43" s="9">
        <v>660</v>
      </c>
      <c r="I43" s="9">
        <v>250</v>
      </c>
      <c r="J43" s="19"/>
      <c r="K43" s="19">
        <f t="shared" si="0"/>
        <v>910</v>
      </c>
      <c r="L43" s="9"/>
      <c r="M43" s="9"/>
      <c r="N43" s="9"/>
      <c r="O43" s="9">
        <f t="shared" si="1"/>
        <v>8956.119999999999</v>
      </c>
      <c r="P43" s="9">
        <v>1134.19</v>
      </c>
      <c r="Q43" s="9">
        <v>570.88</v>
      </c>
      <c r="R43" s="9">
        <v>0</v>
      </c>
      <c r="S43" s="9">
        <v>432.6</v>
      </c>
      <c r="T43" s="9">
        <f t="shared" si="2"/>
        <v>2137.67</v>
      </c>
      <c r="U43" s="9">
        <f t="shared" si="3"/>
        <v>6818.4499999999989</v>
      </c>
    </row>
    <row r="44" spans="1:21" x14ac:dyDescent="0.25">
      <c r="A44" s="6" t="s">
        <v>55</v>
      </c>
      <c r="B44" s="7" t="s">
        <v>76</v>
      </c>
      <c r="C44" s="7" t="s">
        <v>97</v>
      </c>
      <c r="D44" s="19">
        <v>8046.12</v>
      </c>
      <c r="E44" s="9"/>
      <c r="F44" s="9"/>
      <c r="G44" s="9"/>
      <c r="H44" s="9">
        <v>660</v>
      </c>
      <c r="I44" s="9"/>
      <c r="J44" s="9"/>
      <c r="K44" s="19">
        <f t="shared" si="0"/>
        <v>660</v>
      </c>
      <c r="L44" s="9"/>
      <c r="M44" s="9"/>
      <c r="N44" s="9"/>
      <c r="O44" s="9">
        <f t="shared" si="1"/>
        <v>8706.119999999999</v>
      </c>
      <c r="P44" s="9">
        <v>1186.33</v>
      </c>
      <c r="Q44" s="9">
        <v>570.88</v>
      </c>
      <c r="R44" s="9">
        <v>0</v>
      </c>
      <c r="S44" s="9">
        <v>0</v>
      </c>
      <c r="T44" s="9">
        <f t="shared" si="2"/>
        <v>1757.21</v>
      </c>
      <c r="U44" s="9">
        <f t="shared" si="3"/>
        <v>6948.9099999999989</v>
      </c>
    </row>
    <row r="45" spans="1:21" hidden="1" x14ac:dyDescent="0.25">
      <c r="A45" s="6" t="s">
        <v>56</v>
      </c>
      <c r="B45" s="7" t="s">
        <v>72</v>
      </c>
      <c r="C45" s="7" t="s">
        <v>94</v>
      </c>
      <c r="D45" s="19">
        <v>1308.92</v>
      </c>
      <c r="E45" s="9"/>
      <c r="F45" s="9"/>
      <c r="G45" s="9"/>
      <c r="H45" s="9">
        <v>660</v>
      </c>
      <c r="I45" s="9"/>
      <c r="J45" s="9">
        <v>286</v>
      </c>
      <c r="K45" s="19">
        <f t="shared" si="0"/>
        <v>946</v>
      </c>
      <c r="L45" s="9"/>
      <c r="M45" s="9"/>
      <c r="N45" s="9"/>
      <c r="O45" s="9">
        <f t="shared" si="1"/>
        <v>2254.92</v>
      </c>
      <c r="P45" s="9">
        <v>0</v>
      </c>
      <c r="Q45" s="9">
        <v>0</v>
      </c>
      <c r="R45" s="9">
        <v>0</v>
      </c>
      <c r="S45" s="9">
        <v>0</v>
      </c>
      <c r="T45" s="9">
        <f t="shared" si="2"/>
        <v>0</v>
      </c>
      <c r="U45" s="9">
        <f t="shared" si="3"/>
        <v>2254.92</v>
      </c>
    </row>
    <row r="46" spans="1:21" x14ac:dyDescent="0.25">
      <c r="A46" s="6" t="s">
        <v>57</v>
      </c>
      <c r="B46" s="7" t="s">
        <v>76</v>
      </c>
      <c r="C46" s="7" t="s">
        <v>96</v>
      </c>
      <c r="D46" s="19">
        <v>8046.12</v>
      </c>
      <c r="E46" s="9"/>
      <c r="F46" s="9"/>
      <c r="G46" s="9"/>
      <c r="H46" s="9">
        <v>660</v>
      </c>
      <c r="I46" s="9"/>
      <c r="J46" s="43"/>
      <c r="K46" s="19">
        <f t="shared" si="0"/>
        <v>660</v>
      </c>
      <c r="L46" s="9"/>
      <c r="M46" s="9"/>
      <c r="N46" s="9"/>
      <c r="O46" s="9">
        <f t="shared" si="1"/>
        <v>8706.119999999999</v>
      </c>
      <c r="P46" s="9">
        <v>1186.33</v>
      </c>
      <c r="Q46" s="9">
        <v>570.88</v>
      </c>
      <c r="R46" s="9">
        <v>0</v>
      </c>
      <c r="S46" s="9">
        <v>0</v>
      </c>
      <c r="T46" s="9">
        <f t="shared" si="2"/>
        <v>1757.21</v>
      </c>
      <c r="U46" s="9">
        <f t="shared" si="3"/>
        <v>6948.9099999999989</v>
      </c>
    </row>
    <row r="47" spans="1:21" x14ac:dyDescent="0.25">
      <c r="A47" s="6" t="s">
        <v>58</v>
      </c>
      <c r="B47" s="7" t="s">
        <v>68</v>
      </c>
      <c r="C47" s="7" t="s">
        <v>92</v>
      </c>
      <c r="D47" s="19">
        <v>3517.98</v>
      </c>
      <c r="E47" s="9"/>
      <c r="F47" s="9"/>
      <c r="G47" s="9">
        <v>43.61</v>
      </c>
      <c r="H47" s="9">
        <v>660</v>
      </c>
      <c r="I47" s="9"/>
      <c r="J47" s="9">
        <v>286</v>
      </c>
      <c r="K47" s="19">
        <f t="shared" si="0"/>
        <v>946</v>
      </c>
      <c r="L47" s="9"/>
      <c r="M47" s="9"/>
      <c r="N47" s="9"/>
      <c r="O47" s="9">
        <f t="shared" si="1"/>
        <v>4507.59</v>
      </c>
      <c r="P47" s="9">
        <v>66.5</v>
      </c>
      <c r="Q47" s="9">
        <v>391.77</v>
      </c>
      <c r="R47" s="9">
        <v>35.18</v>
      </c>
      <c r="S47" s="9">
        <v>154.79</v>
      </c>
      <c r="T47" s="9">
        <f t="shared" si="2"/>
        <v>648.24</v>
      </c>
      <c r="U47" s="9">
        <f>O47-T47</f>
        <v>3859.3500000000004</v>
      </c>
    </row>
    <row r="48" spans="1:21" x14ac:dyDescent="0.25">
      <c r="A48" s="6" t="s">
        <v>59</v>
      </c>
      <c r="B48" s="7" t="s">
        <v>76</v>
      </c>
      <c r="C48" s="7" t="s">
        <v>96</v>
      </c>
      <c r="D48" s="19">
        <v>8046.12</v>
      </c>
      <c r="E48" s="9"/>
      <c r="F48" s="9"/>
      <c r="G48" s="9"/>
      <c r="H48" s="9">
        <v>660</v>
      </c>
      <c r="I48" s="9"/>
      <c r="J48" s="43">
        <v>180.4</v>
      </c>
      <c r="K48" s="19">
        <f t="shared" si="0"/>
        <v>840.4</v>
      </c>
      <c r="L48" s="9"/>
      <c r="M48" s="9"/>
      <c r="N48" s="9"/>
      <c r="O48" s="9">
        <f t="shared" si="1"/>
        <v>8886.52</v>
      </c>
      <c r="P48" s="9">
        <v>1186.33</v>
      </c>
      <c r="Q48" s="9">
        <v>570.88</v>
      </c>
      <c r="R48" s="9">
        <v>0</v>
      </c>
      <c r="S48" s="9">
        <v>180.4</v>
      </c>
      <c r="T48" s="9">
        <f t="shared" si="2"/>
        <v>1937.6100000000001</v>
      </c>
      <c r="U48" s="9">
        <f t="shared" si="3"/>
        <v>6948.91</v>
      </c>
    </row>
    <row r="49" spans="1:21" x14ac:dyDescent="0.25">
      <c r="A49" s="6" t="s">
        <v>60</v>
      </c>
      <c r="B49" s="7" t="s">
        <v>87</v>
      </c>
      <c r="C49" s="7" t="s">
        <v>94</v>
      </c>
      <c r="D49" s="19">
        <v>6791.55</v>
      </c>
      <c r="E49" s="9"/>
      <c r="F49" s="9"/>
      <c r="G49" s="9"/>
      <c r="H49" s="9">
        <v>660</v>
      </c>
      <c r="I49" s="9"/>
      <c r="J49" s="9">
        <v>167.2</v>
      </c>
      <c r="K49" s="19">
        <f t="shared" si="0"/>
        <v>827.2</v>
      </c>
      <c r="L49" s="9"/>
      <c r="M49" s="9"/>
      <c r="N49" s="9"/>
      <c r="O49" s="9">
        <f t="shared" si="1"/>
        <v>7618.75</v>
      </c>
      <c r="P49" s="9">
        <v>841.32</v>
      </c>
      <c r="Q49" s="9">
        <v>570.88</v>
      </c>
      <c r="R49" s="9">
        <v>0</v>
      </c>
      <c r="S49" s="9">
        <v>167.2</v>
      </c>
      <c r="T49" s="9">
        <f t="shared" si="2"/>
        <v>1579.4</v>
      </c>
      <c r="U49" s="9">
        <f t="shared" si="3"/>
        <v>6039.35</v>
      </c>
    </row>
    <row r="50" spans="1:21" x14ac:dyDescent="0.25">
      <c r="A50" s="6" t="s">
        <v>61</v>
      </c>
      <c r="B50" s="7" t="s">
        <v>88</v>
      </c>
      <c r="C50" s="7" t="s">
        <v>93</v>
      </c>
      <c r="D50" s="19">
        <v>9395.69</v>
      </c>
      <c r="E50" s="9"/>
      <c r="F50" s="9"/>
      <c r="G50" s="9"/>
      <c r="H50" s="9">
        <v>660</v>
      </c>
      <c r="I50" s="9"/>
      <c r="J50" s="9">
        <v>180.4</v>
      </c>
      <c r="K50" s="19">
        <f t="shared" si="0"/>
        <v>840.4</v>
      </c>
      <c r="L50" s="9"/>
      <c r="M50" s="9"/>
      <c r="N50" s="9"/>
      <c r="O50" s="9">
        <f t="shared" si="1"/>
        <v>10236.09</v>
      </c>
      <c r="P50" s="9">
        <v>1557.46</v>
      </c>
      <c r="Q50" s="9">
        <v>570.88</v>
      </c>
      <c r="R50" s="9">
        <v>0</v>
      </c>
      <c r="S50" s="9">
        <v>180.4</v>
      </c>
      <c r="T50" s="9">
        <f t="shared" si="2"/>
        <v>2308.7400000000002</v>
      </c>
      <c r="U50" s="9">
        <f t="shared" si="3"/>
        <v>7927.35</v>
      </c>
    </row>
    <row r="51" spans="1:21" x14ac:dyDescent="0.25">
      <c r="A51" s="7" t="s">
        <v>62</v>
      </c>
      <c r="B51" s="7" t="s">
        <v>83</v>
      </c>
      <c r="C51" s="7" t="s">
        <v>94</v>
      </c>
      <c r="D51" s="19">
        <v>3517.98</v>
      </c>
      <c r="E51" s="9"/>
      <c r="F51" s="9"/>
      <c r="G51" s="9"/>
      <c r="H51" s="9">
        <v>660</v>
      </c>
      <c r="I51" s="9"/>
      <c r="J51" s="9">
        <v>440</v>
      </c>
      <c r="K51" s="19">
        <f t="shared" si="0"/>
        <v>1100</v>
      </c>
      <c r="L51" s="9"/>
      <c r="M51" s="9"/>
      <c r="N51" s="9"/>
      <c r="O51" s="9">
        <f t="shared" si="1"/>
        <v>4617.9799999999996</v>
      </c>
      <c r="P51" s="9">
        <v>114.85</v>
      </c>
      <c r="Q51" s="9">
        <v>386.98</v>
      </c>
      <c r="R51" s="9">
        <v>35.18</v>
      </c>
      <c r="S51" s="9">
        <v>154.79</v>
      </c>
      <c r="T51" s="9">
        <f t="shared" si="2"/>
        <v>691.8</v>
      </c>
      <c r="U51" s="9">
        <f t="shared" si="3"/>
        <v>3926.1799999999994</v>
      </c>
    </row>
    <row r="52" spans="1:21" x14ac:dyDescent="0.25">
      <c r="A52" s="7" t="s">
        <v>63</v>
      </c>
      <c r="B52" s="7" t="s">
        <v>89</v>
      </c>
      <c r="C52" s="7" t="s">
        <v>98</v>
      </c>
      <c r="D52" s="19">
        <v>6791.55</v>
      </c>
      <c r="E52" s="9"/>
      <c r="F52" s="9"/>
      <c r="G52" s="9"/>
      <c r="H52" s="9">
        <v>660</v>
      </c>
      <c r="I52" s="9"/>
      <c r="J52" s="9">
        <v>180.4</v>
      </c>
      <c r="K52" s="19">
        <f t="shared" si="0"/>
        <v>840.4</v>
      </c>
      <c r="L52" s="9"/>
      <c r="M52" s="9"/>
      <c r="N52" s="9"/>
      <c r="O52" s="9">
        <f t="shared" si="1"/>
        <v>7631.95</v>
      </c>
      <c r="P52" s="9">
        <v>841.32</v>
      </c>
      <c r="Q52" s="9">
        <v>570.88</v>
      </c>
      <c r="R52" s="9">
        <v>0</v>
      </c>
      <c r="S52" s="9">
        <v>180.4</v>
      </c>
      <c r="T52" s="9">
        <f t="shared" si="2"/>
        <v>1592.6000000000001</v>
      </c>
      <c r="U52" s="9">
        <f t="shared" si="3"/>
        <v>6039.3499999999995</v>
      </c>
    </row>
    <row r="53" spans="1:21" hidden="1" x14ac:dyDescent="0.25">
      <c r="A53" s="13" t="s">
        <v>129</v>
      </c>
      <c r="B53" s="15" t="s">
        <v>72</v>
      </c>
      <c r="C53" s="7" t="s">
        <v>106</v>
      </c>
      <c r="D53" s="41">
        <v>1265.29</v>
      </c>
      <c r="E53" s="9"/>
      <c r="F53" s="9"/>
      <c r="G53" s="9"/>
      <c r="H53" s="9">
        <v>630</v>
      </c>
      <c r="I53" s="9"/>
      <c r="J53" s="43"/>
      <c r="K53" s="19">
        <f t="shared" si="0"/>
        <v>630</v>
      </c>
      <c r="L53" s="9"/>
      <c r="M53" s="9"/>
      <c r="N53" s="9"/>
      <c r="O53" s="9">
        <f t="shared" si="1"/>
        <v>1895.29</v>
      </c>
      <c r="P53" s="9">
        <v>0</v>
      </c>
      <c r="Q53" s="9">
        <v>0</v>
      </c>
      <c r="R53" s="9">
        <v>0</v>
      </c>
      <c r="S53" s="9">
        <v>0</v>
      </c>
      <c r="T53" s="9">
        <f t="shared" si="2"/>
        <v>0</v>
      </c>
      <c r="U53" s="9">
        <f t="shared" si="3"/>
        <v>1895.29</v>
      </c>
    </row>
    <row r="54" spans="1:21" x14ac:dyDescent="0.25">
      <c r="A54" s="6" t="s">
        <v>64</v>
      </c>
      <c r="B54" s="7" t="s">
        <v>68</v>
      </c>
      <c r="C54" s="7" t="s">
        <v>96</v>
      </c>
      <c r="D54" s="19">
        <v>3517.98</v>
      </c>
      <c r="E54" s="9"/>
      <c r="F54" s="9"/>
      <c r="G54" s="9"/>
      <c r="H54" s="9">
        <v>660</v>
      </c>
      <c r="I54" s="9"/>
      <c r="J54" s="43">
        <v>180.4</v>
      </c>
      <c r="K54" s="19">
        <f t="shared" si="0"/>
        <v>840.4</v>
      </c>
      <c r="L54" s="9"/>
      <c r="M54" s="9"/>
      <c r="N54" s="9"/>
      <c r="O54" s="9">
        <f t="shared" si="1"/>
        <v>4358.38</v>
      </c>
      <c r="P54" s="9">
        <v>114.85</v>
      </c>
      <c r="Q54" s="9">
        <v>386.98</v>
      </c>
      <c r="R54" s="9">
        <v>0</v>
      </c>
      <c r="S54" s="9">
        <v>154.79</v>
      </c>
      <c r="T54" s="9">
        <f t="shared" si="2"/>
        <v>656.62</v>
      </c>
      <c r="U54" s="9">
        <f t="shared" si="3"/>
        <v>3701.76</v>
      </c>
    </row>
    <row r="55" spans="1:21" x14ac:dyDescent="0.25">
      <c r="A55" s="7" t="s">
        <v>65</v>
      </c>
      <c r="B55" s="7" t="s">
        <v>90</v>
      </c>
      <c r="C55" s="7" t="s">
        <v>100</v>
      </c>
      <c r="D55" s="19">
        <v>6791.55</v>
      </c>
      <c r="E55" s="9"/>
      <c r="F55" s="9"/>
      <c r="G55" s="9"/>
      <c r="H55" s="9">
        <v>660</v>
      </c>
      <c r="I55" s="9"/>
      <c r="J55" s="9">
        <v>0</v>
      </c>
      <c r="K55" s="19">
        <f t="shared" si="0"/>
        <v>660</v>
      </c>
      <c r="L55" s="9"/>
      <c r="M55" s="9"/>
      <c r="N55" s="9"/>
      <c r="O55" s="9">
        <f t="shared" si="1"/>
        <v>7451.55</v>
      </c>
      <c r="P55" s="9">
        <v>841.32</v>
      </c>
      <c r="Q55" s="9">
        <v>570.88</v>
      </c>
      <c r="R55" s="9">
        <v>0</v>
      </c>
      <c r="S55" s="9">
        <v>0</v>
      </c>
      <c r="T55" s="9">
        <f t="shared" si="2"/>
        <v>1412.2</v>
      </c>
      <c r="U55" s="9">
        <f t="shared" si="3"/>
        <v>6039.35</v>
      </c>
    </row>
    <row r="56" spans="1:21" hidden="1" x14ac:dyDescent="0.25">
      <c r="A56" s="6" t="s">
        <v>66</v>
      </c>
      <c r="B56" s="7" t="s">
        <v>72</v>
      </c>
      <c r="C56" s="7" t="s">
        <v>102</v>
      </c>
      <c r="D56" s="19">
        <v>1308.92</v>
      </c>
      <c r="E56" s="9"/>
      <c r="F56" s="9"/>
      <c r="G56" s="9"/>
      <c r="H56" s="9">
        <v>660</v>
      </c>
      <c r="I56" s="9"/>
      <c r="J56" s="9">
        <v>286</v>
      </c>
      <c r="K56" s="19">
        <f t="shared" si="0"/>
        <v>946</v>
      </c>
      <c r="L56" s="9"/>
      <c r="M56" s="9"/>
      <c r="N56" s="9"/>
      <c r="O56" s="9">
        <f t="shared" si="1"/>
        <v>2254.92</v>
      </c>
      <c r="P56" s="9">
        <v>0</v>
      </c>
      <c r="Q56" s="9">
        <v>0</v>
      </c>
      <c r="R56" s="9">
        <v>0</v>
      </c>
      <c r="S56" s="9">
        <v>0</v>
      </c>
      <c r="T56" s="9">
        <f t="shared" si="2"/>
        <v>0</v>
      </c>
      <c r="U56" s="9">
        <f t="shared" si="3"/>
        <v>2254.92</v>
      </c>
    </row>
    <row r="57" spans="1:21" x14ac:dyDescent="0.25">
      <c r="A57" s="7" t="s">
        <v>67</v>
      </c>
      <c r="B57" s="7" t="s">
        <v>91</v>
      </c>
      <c r="C57" s="7" t="s">
        <v>95</v>
      </c>
      <c r="D57" s="19">
        <v>9395.69</v>
      </c>
      <c r="E57" s="9"/>
      <c r="F57" s="9"/>
      <c r="G57" s="9"/>
      <c r="H57" s="9">
        <v>660</v>
      </c>
      <c r="I57" s="9"/>
      <c r="J57" s="9"/>
      <c r="K57" s="19">
        <f>H57+I57+J57</f>
        <v>660</v>
      </c>
      <c r="L57" s="9"/>
      <c r="M57" s="9"/>
      <c r="N57" s="9"/>
      <c r="O57" s="9">
        <f t="shared" si="1"/>
        <v>10055.69</v>
      </c>
      <c r="P57" s="9">
        <v>1557.46</v>
      </c>
      <c r="Q57" s="9">
        <v>570.88</v>
      </c>
      <c r="R57" s="9">
        <v>0</v>
      </c>
      <c r="S57" s="9">
        <v>0</v>
      </c>
      <c r="T57" s="9">
        <f t="shared" si="2"/>
        <v>2128.34</v>
      </c>
      <c r="U57" s="9">
        <f t="shared" si="3"/>
        <v>7927.35</v>
      </c>
    </row>
    <row r="58" spans="1:21" x14ac:dyDescent="0.25">
      <c r="H58" s="27">
        <f>SUM(H5:H57)</f>
        <v>33510</v>
      </c>
      <c r="I58" s="27">
        <f>SUM(I5:I57)</f>
        <v>1250</v>
      </c>
      <c r="J58" s="27">
        <f>SUM(J5:J57)</f>
        <v>9421.739999999998</v>
      </c>
      <c r="K58" s="1"/>
      <c r="O58" s="3"/>
      <c r="U58" s="44">
        <f>SUM(U5:U57)</f>
        <v>284764.51999999996</v>
      </c>
    </row>
    <row r="59" spans="1:21" ht="19.5" x14ac:dyDescent="0.3">
      <c r="A59" s="21" t="s">
        <v>108</v>
      </c>
      <c r="O59" s="3"/>
    </row>
    <row r="60" spans="1:21" ht="18" customHeight="1" x14ac:dyDescent="0.25">
      <c r="A60" s="32" t="s">
        <v>0</v>
      </c>
      <c r="B60" s="32" t="s">
        <v>1</v>
      </c>
      <c r="C60" s="32" t="s">
        <v>2</v>
      </c>
      <c r="D60" s="32" t="s">
        <v>111</v>
      </c>
      <c r="E60" s="32" t="s">
        <v>110</v>
      </c>
      <c r="F60" s="32" t="s">
        <v>11</v>
      </c>
      <c r="G60" s="32" t="s">
        <v>12</v>
      </c>
      <c r="H60" s="32" t="s">
        <v>109</v>
      </c>
      <c r="M60" s="3"/>
    </row>
    <row r="61" spans="1:21" ht="15.75" x14ac:dyDescent="0.25">
      <c r="A61" s="7"/>
      <c r="B61" s="7"/>
      <c r="C61" s="7"/>
      <c r="D61" s="19"/>
      <c r="E61" s="7"/>
      <c r="F61" s="34"/>
      <c r="G61" s="34"/>
      <c r="H61" s="20"/>
      <c r="J61" s="35"/>
      <c r="O61" s="3"/>
    </row>
    <row r="62" spans="1:21" ht="15.75" x14ac:dyDescent="0.25">
      <c r="A62" s="37"/>
      <c r="B62" s="37"/>
      <c r="C62" s="37"/>
      <c r="D62" s="38"/>
      <c r="E62" s="37"/>
      <c r="F62" s="39"/>
      <c r="G62" s="39"/>
      <c r="H62" s="40"/>
      <c r="J62" s="35"/>
      <c r="O62" s="3"/>
    </row>
    <row r="63" spans="1:21" x14ac:dyDescent="0.25">
      <c r="O63" s="3"/>
    </row>
    <row r="64" spans="1:21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</sheetData>
  <autoFilter ref="A4:U61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  <filter val="SECRETARIO EXECUTIVO"/>
      </filters>
    </filterColumn>
  </autoFilter>
  <sortState ref="A5:U57">
    <sortCondition ref="A4"/>
  </sortState>
  <pageMargins left="0.51181102362204722" right="0.51181102362204722" top="0.78740157480314965" bottom="0.78740157480314965" header="0.31496062992125984" footer="0.31496062992125984"/>
  <pageSetup paperSize="9" scale="37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59"/>
  <sheetViews>
    <sheetView showGridLines="0" workbookViewId="0">
      <pane xSplit="1" topLeftCell="L1" activePane="topRight" state="frozen"/>
      <selection pane="topRight" activeCell="M61" sqref="M61"/>
    </sheetView>
  </sheetViews>
  <sheetFormatPr defaultRowHeight="15" x14ac:dyDescent="0.25"/>
  <cols>
    <col min="1" max="1" width="47.42578125" customWidth="1"/>
    <col min="2" max="2" width="32.28515625" customWidth="1"/>
    <col min="3" max="3" width="31.42578125" customWidth="1"/>
    <col min="4" max="4" width="22" customWidth="1"/>
    <col min="5" max="5" width="18.7109375" customWidth="1"/>
    <col min="6" max="6" width="16.140625" customWidth="1"/>
    <col min="7" max="7" width="14.42578125" customWidth="1"/>
    <col min="8" max="8" width="18" hidden="1" customWidth="1"/>
    <col min="9" max="9" width="13.7109375" hidden="1" customWidth="1"/>
    <col min="10" max="10" width="17" hidden="1" customWidth="1"/>
    <col min="11" max="11" width="20.5703125" customWidth="1"/>
    <col min="12" max="12" width="17.140625" customWidth="1"/>
    <col min="13" max="13" width="15" customWidth="1"/>
    <col min="14" max="14" width="16.7109375" customWidth="1"/>
    <col min="15" max="15" width="21" customWidth="1"/>
    <col min="16" max="16" width="14.42578125" customWidth="1"/>
    <col min="17" max="17" width="16.5703125" customWidth="1"/>
    <col min="18" max="18" width="13.42578125" customWidth="1"/>
    <col min="19" max="19" width="14.5703125" customWidth="1"/>
    <col min="20" max="20" width="14.85546875" customWidth="1"/>
    <col min="21" max="21" width="19" customWidth="1"/>
  </cols>
  <sheetData>
    <row r="1" spans="1:22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8.75" x14ac:dyDescent="0.3">
      <c r="A2" s="45" t="s">
        <v>130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2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>
        <v>5.65</v>
      </c>
      <c r="H5" s="9">
        <v>630</v>
      </c>
      <c r="I5" s="9"/>
      <c r="J5" s="9">
        <v>420</v>
      </c>
      <c r="K5" s="19">
        <f>SUM(H5+I5+J5)</f>
        <v>1050</v>
      </c>
      <c r="L5" s="19"/>
      <c r="M5" s="19"/>
      <c r="N5" s="19"/>
      <c r="O5" s="41">
        <f t="shared" ref="O5:O55" si="0">SUM(D5+E5+F5+G5+K5+L5+M5+N5)</f>
        <v>4573.63</v>
      </c>
      <c r="P5" s="19">
        <v>109.07</v>
      </c>
      <c r="Q5" s="19">
        <v>382.21</v>
      </c>
      <c r="R5" s="19">
        <v>84.14</v>
      </c>
      <c r="S5" s="19">
        <v>147.76</v>
      </c>
      <c r="T5" s="19">
        <f>SUM(P5+Q5+R5+S5)</f>
        <v>723.18</v>
      </c>
      <c r="U5" s="41">
        <f>SUM(O5-T5)</f>
        <v>3850.4500000000003</v>
      </c>
    </row>
    <row r="6" spans="1:22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>
        <v>63.11</v>
      </c>
      <c r="H6" s="9">
        <v>630</v>
      </c>
      <c r="I6" s="9">
        <v>250</v>
      </c>
      <c r="J6" s="9"/>
      <c r="K6" s="19">
        <f t="shared" ref="K6:K55" si="1">SUM(H6+I6+J6)</f>
        <v>880</v>
      </c>
      <c r="L6" s="19"/>
      <c r="M6" s="19"/>
      <c r="N6" s="19"/>
      <c r="O6" s="41">
        <f t="shared" si="0"/>
        <v>4461.09</v>
      </c>
      <c r="P6" s="19">
        <v>67.8</v>
      </c>
      <c r="Q6" s="19">
        <v>393.92</v>
      </c>
      <c r="R6" s="19"/>
      <c r="S6" s="19">
        <v>142.80000000000001</v>
      </c>
      <c r="T6" s="19">
        <f t="shared" ref="T6:T56" si="2">SUM(P6+Q6+R6+S6)</f>
        <v>604.52</v>
      </c>
      <c r="U6" s="41">
        <f t="shared" ref="U6:U55" si="3">SUM(O6-T6)</f>
        <v>3856.57</v>
      </c>
    </row>
    <row r="7" spans="1:22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630</v>
      </c>
      <c r="I7" s="9"/>
      <c r="J7" s="9"/>
      <c r="K7" s="19">
        <f t="shared" si="1"/>
        <v>630</v>
      </c>
      <c r="L7" s="19"/>
      <c r="M7" s="19"/>
      <c r="N7" s="19"/>
      <c r="O7" s="41">
        <f t="shared" si="0"/>
        <v>12969.48</v>
      </c>
      <c r="P7" s="19">
        <v>2314.87</v>
      </c>
      <c r="Q7" s="19">
        <v>570.88</v>
      </c>
      <c r="R7" s="19"/>
      <c r="S7" s="19"/>
      <c r="T7" s="19">
        <f t="shared" si="2"/>
        <v>2885.75</v>
      </c>
      <c r="U7" s="41">
        <f t="shared" si="3"/>
        <v>10083.73</v>
      </c>
    </row>
    <row r="8" spans="1:22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630</v>
      </c>
      <c r="I8" s="9"/>
      <c r="J8" s="9">
        <v>159.6</v>
      </c>
      <c r="K8" s="19">
        <f t="shared" si="1"/>
        <v>789.6</v>
      </c>
      <c r="L8" s="19"/>
      <c r="M8" s="19"/>
      <c r="N8" s="19">
        <v>1698.38</v>
      </c>
      <c r="O8" s="41">
        <f t="shared" si="0"/>
        <v>7637.71</v>
      </c>
      <c r="P8" s="19">
        <v>752.6</v>
      </c>
      <c r="Q8" s="19">
        <v>570.88</v>
      </c>
      <c r="R8" s="19"/>
      <c r="S8" s="19">
        <v>159.6</v>
      </c>
      <c r="T8" s="19">
        <f t="shared" si="2"/>
        <v>1483.08</v>
      </c>
      <c r="U8" s="41">
        <f t="shared" si="3"/>
        <v>6154.63</v>
      </c>
    </row>
    <row r="9" spans="1:22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/>
      <c r="G9" s="9"/>
      <c r="H9" s="9">
        <v>630</v>
      </c>
      <c r="I9" s="9"/>
      <c r="J9" s="9">
        <v>273</v>
      </c>
      <c r="K9" s="19">
        <f t="shared" si="1"/>
        <v>903</v>
      </c>
      <c r="L9" s="19"/>
      <c r="M9" s="19"/>
      <c r="N9" s="19"/>
      <c r="O9" s="41">
        <f t="shared" si="0"/>
        <v>4420.9799999999996</v>
      </c>
      <c r="P9" s="19">
        <v>84.96</v>
      </c>
      <c r="Q9" s="19">
        <v>385.78</v>
      </c>
      <c r="R9" s="19">
        <v>46.03</v>
      </c>
      <c r="S9" s="19">
        <v>147.76</v>
      </c>
      <c r="T9" s="19">
        <f t="shared" si="2"/>
        <v>664.53</v>
      </c>
      <c r="U9" s="41">
        <f t="shared" si="3"/>
        <v>3756.45</v>
      </c>
    </row>
    <row r="10" spans="1:22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630</v>
      </c>
      <c r="I10" s="9"/>
      <c r="J10" s="42">
        <v>159.6</v>
      </c>
      <c r="K10" s="19">
        <f t="shared" si="1"/>
        <v>789.6</v>
      </c>
      <c r="L10" s="19"/>
      <c r="M10" s="19"/>
      <c r="N10" s="19"/>
      <c r="O10" s="41">
        <f t="shared" si="0"/>
        <v>4307.58</v>
      </c>
      <c r="P10" s="19">
        <v>113.4</v>
      </c>
      <c r="Q10" s="19">
        <v>385.78</v>
      </c>
      <c r="R10" s="19">
        <v>46.03</v>
      </c>
      <c r="S10" s="19">
        <v>147.76</v>
      </c>
      <c r="T10" s="19">
        <f t="shared" si="2"/>
        <v>692.96999999999991</v>
      </c>
      <c r="U10" s="41">
        <f t="shared" si="3"/>
        <v>3614.61</v>
      </c>
    </row>
    <row r="11" spans="1:22" hidden="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630</v>
      </c>
      <c r="I11" s="9"/>
      <c r="J11" s="9">
        <v>331.8</v>
      </c>
      <c r="K11" s="28">
        <f t="shared" si="1"/>
        <v>961.8</v>
      </c>
      <c r="L11" s="9"/>
      <c r="M11" s="9"/>
      <c r="N11" s="9"/>
      <c r="O11" s="47">
        <f t="shared" si="0"/>
        <v>2270.7200000000003</v>
      </c>
      <c r="P11" s="9"/>
      <c r="Q11" s="9"/>
      <c r="R11" s="9"/>
      <c r="S11" s="9"/>
      <c r="T11" s="9">
        <f t="shared" si="2"/>
        <v>0</v>
      </c>
      <c r="U11" s="47">
        <f t="shared" si="3"/>
        <v>2270.7200000000003</v>
      </c>
    </row>
    <row r="12" spans="1:22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630</v>
      </c>
      <c r="I12" s="9"/>
      <c r="J12" s="9"/>
      <c r="K12" s="19">
        <f t="shared" si="1"/>
        <v>630</v>
      </c>
      <c r="L12" s="12"/>
      <c r="M12" s="19"/>
      <c r="N12" s="19"/>
      <c r="O12" s="41">
        <f t="shared" si="0"/>
        <v>10025.69</v>
      </c>
      <c r="P12" s="19">
        <v>1557.46</v>
      </c>
      <c r="Q12" s="19">
        <v>570.88</v>
      </c>
      <c r="R12" s="19"/>
      <c r="S12" s="19"/>
      <c r="T12" s="19">
        <f t="shared" si="2"/>
        <v>2128.34</v>
      </c>
      <c r="U12" s="41">
        <f t="shared" si="3"/>
        <v>7897.35</v>
      </c>
    </row>
    <row r="13" spans="1:22" x14ac:dyDescent="0.25">
      <c r="A13" s="7" t="s">
        <v>26</v>
      </c>
      <c r="B13" s="7" t="s">
        <v>68</v>
      </c>
      <c r="C13" s="7" t="s">
        <v>96</v>
      </c>
      <c r="D13" s="19">
        <v>2228.0500000000002</v>
      </c>
      <c r="E13" s="9">
        <v>1289.93</v>
      </c>
      <c r="F13" s="9"/>
      <c r="G13" s="9"/>
      <c r="H13" s="9">
        <v>360</v>
      </c>
      <c r="I13" s="9"/>
      <c r="J13" s="43">
        <v>189.6</v>
      </c>
      <c r="K13" s="19">
        <f t="shared" si="1"/>
        <v>549.6</v>
      </c>
      <c r="L13" s="19">
        <v>429.98</v>
      </c>
      <c r="M13" s="19"/>
      <c r="N13" s="19"/>
      <c r="O13" s="41">
        <f t="shared" si="0"/>
        <v>4497.5600000000004</v>
      </c>
      <c r="P13" s="19"/>
      <c r="Q13" s="19">
        <v>434.28</v>
      </c>
      <c r="R13" s="19"/>
      <c r="S13" s="19">
        <v>84.43</v>
      </c>
      <c r="T13" s="19">
        <f t="shared" si="2"/>
        <v>518.71</v>
      </c>
      <c r="U13" s="41">
        <f t="shared" si="3"/>
        <v>3978.8500000000004</v>
      </c>
    </row>
    <row r="14" spans="1:22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420</v>
      </c>
      <c r="I14" s="9"/>
      <c r="J14" s="9">
        <v>114.8</v>
      </c>
      <c r="K14" s="19">
        <f t="shared" si="1"/>
        <v>534.79999999999995</v>
      </c>
      <c r="L14" s="19"/>
      <c r="M14" s="19"/>
      <c r="N14" s="19"/>
      <c r="O14" s="41">
        <f t="shared" si="0"/>
        <v>9930.49</v>
      </c>
      <c r="P14" s="19">
        <v>1557.46</v>
      </c>
      <c r="Q14" s="19">
        <v>570.88</v>
      </c>
      <c r="R14" s="19"/>
      <c r="S14" s="19">
        <v>114.8</v>
      </c>
      <c r="T14" s="19">
        <f t="shared" si="2"/>
        <v>2243.1400000000003</v>
      </c>
      <c r="U14" s="41">
        <f t="shared" si="3"/>
        <v>7687.3499999999995</v>
      </c>
    </row>
    <row r="15" spans="1:22" hidden="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630</v>
      </c>
      <c r="I15" s="9"/>
      <c r="J15" s="19">
        <v>273</v>
      </c>
      <c r="K15" s="28">
        <f t="shared" si="1"/>
        <v>903</v>
      </c>
      <c r="L15" s="9"/>
      <c r="M15" s="9"/>
      <c r="N15" s="9"/>
      <c r="O15" s="47">
        <f t="shared" si="0"/>
        <v>2211.92</v>
      </c>
      <c r="P15" s="9"/>
      <c r="Q15" s="9"/>
      <c r="R15" s="9"/>
      <c r="S15" s="9"/>
      <c r="T15" s="9">
        <f t="shared" si="2"/>
        <v>0</v>
      </c>
      <c r="U15" s="47">
        <f t="shared" si="3"/>
        <v>2211.92</v>
      </c>
    </row>
    <row r="16" spans="1:22" x14ac:dyDescent="0.25">
      <c r="A16" s="13" t="s">
        <v>117</v>
      </c>
      <c r="B16" s="15" t="s">
        <v>75</v>
      </c>
      <c r="C16" s="15" t="s">
        <v>95</v>
      </c>
      <c r="D16" s="19">
        <v>0</v>
      </c>
      <c r="E16" s="9">
        <v>2532.2399999999998</v>
      </c>
      <c r="F16" s="9"/>
      <c r="G16" s="9"/>
      <c r="H16" s="9">
        <v>0</v>
      </c>
      <c r="I16" s="9"/>
      <c r="J16" s="9"/>
      <c r="K16" s="19">
        <f t="shared" si="1"/>
        <v>0</v>
      </c>
      <c r="L16" s="19">
        <v>844.08</v>
      </c>
      <c r="M16" s="19"/>
      <c r="N16" s="19">
        <v>3074.85</v>
      </c>
      <c r="O16" s="41">
        <f t="shared" si="0"/>
        <v>6451.17</v>
      </c>
      <c r="P16" s="19">
        <v>237.37</v>
      </c>
      <c r="Q16" s="19"/>
      <c r="R16" s="19"/>
      <c r="S16" s="19"/>
      <c r="T16" s="19">
        <f t="shared" si="2"/>
        <v>237.37</v>
      </c>
      <c r="U16" s="41">
        <f t="shared" si="3"/>
        <v>6213.8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/>
      <c r="F17" s="9"/>
      <c r="G17" s="9">
        <v>11.28</v>
      </c>
      <c r="H17" s="9">
        <v>630</v>
      </c>
      <c r="I17" s="9"/>
      <c r="J17" s="9">
        <v>331.8</v>
      </c>
      <c r="K17" s="19">
        <f t="shared" si="1"/>
        <v>961.8</v>
      </c>
      <c r="L17" s="19"/>
      <c r="M17" s="19"/>
      <c r="N17" s="19"/>
      <c r="O17" s="41">
        <f t="shared" si="0"/>
        <v>4491.0600000000004</v>
      </c>
      <c r="P17" s="19">
        <v>116.36</v>
      </c>
      <c r="Q17" s="19">
        <v>388.22</v>
      </c>
      <c r="R17" s="19">
        <v>35.18</v>
      </c>
      <c r="S17" s="19">
        <v>147.76</v>
      </c>
      <c r="T17" s="19">
        <f t="shared" si="2"/>
        <v>687.52</v>
      </c>
      <c r="U17" s="41">
        <f t="shared" si="3"/>
        <v>3803.5400000000004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8046.12</v>
      </c>
      <c r="E18" s="9"/>
      <c r="F18" s="9"/>
      <c r="G18" s="9">
        <v>25.82</v>
      </c>
      <c r="H18" s="9">
        <v>630</v>
      </c>
      <c r="I18" s="9"/>
      <c r="J18" s="9">
        <v>172.2</v>
      </c>
      <c r="K18" s="19">
        <f t="shared" si="1"/>
        <v>802.2</v>
      </c>
      <c r="L18" s="19"/>
      <c r="M18" s="19"/>
      <c r="N18" s="19"/>
      <c r="O18" s="41">
        <f t="shared" si="0"/>
        <v>8874.14</v>
      </c>
      <c r="P18" s="19">
        <v>1193.43</v>
      </c>
      <c r="Q18" s="19">
        <v>570.88</v>
      </c>
      <c r="R18" s="19"/>
      <c r="S18" s="19">
        <v>172.2</v>
      </c>
      <c r="T18" s="19">
        <f t="shared" si="2"/>
        <v>1936.51</v>
      </c>
      <c r="U18" s="41">
        <f t="shared" si="3"/>
        <v>6937.6299999999992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630</v>
      </c>
      <c r="I19" s="9"/>
      <c r="J19" s="43"/>
      <c r="K19" s="19">
        <f t="shared" si="1"/>
        <v>630</v>
      </c>
      <c r="L19" s="19"/>
      <c r="M19" s="19"/>
      <c r="N19" s="19"/>
      <c r="O19" s="41">
        <f t="shared" si="0"/>
        <v>8676.119999999999</v>
      </c>
      <c r="P19" s="19">
        <v>1186.33</v>
      </c>
      <c r="Q19" s="19">
        <v>570.88</v>
      </c>
      <c r="R19" s="19"/>
      <c r="S19" s="19"/>
      <c r="T19" s="19">
        <f t="shared" si="2"/>
        <v>1757.21</v>
      </c>
      <c r="U19" s="41">
        <f t="shared" si="3"/>
        <v>6918.9099999999989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630</v>
      </c>
      <c r="I20" s="9"/>
      <c r="J20" s="9"/>
      <c r="K20" s="19">
        <f t="shared" si="1"/>
        <v>630</v>
      </c>
      <c r="L20" s="19"/>
      <c r="M20" s="19"/>
      <c r="N20" s="19">
        <v>1704.81</v>
      </c>
      <c r="O20" s="41">
        <f t="shared" si="0"/>
        <v>14674.289999999999</v>
      </c>
      <c r="P20" s="19">
        <v>2835.83</v>
      </c>
      <c r="Q20" s="19">
        <v>570.88</v>
      </c>
      <c r="R20" s="19"/>
      <c r="S20" s="19"/>
      <c r="T20" s="19">
        <f t="shared" si="2"/>
        <v>3406.71</v>
      </c>
      <c r="U20" s="41">
        <f t="shared" si="3"/>
        <v>11267.579999999998</v>
      </c>
    </row>
    <row r="21" spans="1:21" hidden="1" x14ac:dyDescent="0.25">
      <c r="A21" s="6" t="s">
        <v>131</v>
      </c>
      <c r="B21" s="7" t="s">
        <v>72</v>
      </c>
      <c r="C21" s="7"/>
      <c r="D21" s="19"/>
      <c r="E21" s="9"/>
      <c r="F21" s="9"/>
      <c r="G21" s="9"/>
      <c r="H21" s="9">
        <v>300</v>
      </c>
      <c r="I21" s="9"/>
      <c r="J21" s="9"/>
      <c r="K21" s="28">
        <f t="shared" si="1"/>
        <v>300</v>
      </c>
      <c r="L21" s="9"/>
      <c r="M21" s="9"/>
      <c r="N21" s="9"/>
      <c r="O21" s="47"/>
      <c r="P21" s="9"/>
      <c r="Q21" s="9"/>
      <c r="R21" s="9"/>
      <c r="S21" s="9"/>
      <c r="T21" s="9"/>
      <c r="U21" s="47"/>
    </row>
    <row r="22" spans="1:21" hidden="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630</v>
      </c>
      <c r="I22" s="9"/>
      <c r="J22" s="9">
        <v>172.2</v>
      </c>
      <c r="K22" s="28">
        <f t="shared" si="1"/>
        <v>802.2</v>
      </c>
      <c r="L22" s="9"/>
      <c r="M22" s="9"/>
      <c r="N22" s="9"/>
      <c r="O22" s="47">
        <f t="shared" si="0"/>
        <v>2111.12</v>
      </c>
      <c r="P22" s="9"/>
      <c r="Q22" s="9"/>
      <c r="R22" s="9"/>
      <c r="S22" s="9"/>
      <c r="T22" s="9">
        <f t="shared" si="2"/>
        <v>0</v>
      </c>
      <c r="U22" s="47">
        <f t="shared" si="3"/>
        <v>2111.12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12339.48</v>
      </c>
      <c r="E23" s="9"/>
      <c r="F23" s="9"/>
      <c r="G23" s="9"/>
      <c r="H23" s="9">
        <v>630</v>
      </c>
      <c r="I23" s="9"/>
      <c r="J23" s="43">
        <v>247</v>
      </c>
      <c r="K23" s="19">
        <f t="shared" si="1"/>
        <v>877</v>
      </c>
      <c r="L23" s="19"/>
      <c r="M23" s="19"/>
      <c r="N23" s="19"/>
      <c r="O23" s="41">
        <f t="shared" si="0"/>
        <v>13216.48</v>
      </c>
      <c r="P23" s="19">
        <v>2367.0100000000002</v>
      </c>
      <c r="Q23" s="19">
        <v>570.88</v>
      </c>
      <c r="R23" s="19"/>
      <c r="S23" s="19">
        <v>247</v>
      </c>
      <c r="T23" s="19">
        <f t="shared" si="2"/>
        <v>3184.8900000000003</v>
      </c>
      <c r="U23" s="41">
        <f t="shared" si="3"/>
        <v>10031.59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/>
      <c r="H24" s="9">
        <v>630</v>
      </c>
      <c r="I24" s="9"/>
      <c r="J24" s="9"/>
      <c r="K24" s="19">
        <f t="shared" si="1"/>
        <v>630</v>
      </c>
      <c r="L24" s="19"/>
      <c r="M24" s="19"/>
      <c r="N24" s="19"/>
      <c r="O24" s="41">
        <f t="shared" si="0"/>
        <v>4147.9799999999996</v>
      </c>
      <c r="P24" s="19">
        <v>114.11</v>
      </c>
      <c r="Q24" s="19">
        <v>386.37</v>
      </c>
      <c r="R24" s="19">
        <v>5.57</v>
      </c>
      <c r="S24" s="19"/>
      <c r="T24" s="19">
        <f t="shared" si="2"/>
        <v>506.05</v>
      </c>
      <c r="U24" s="41">
        <f t="shared" si="3"/>
        <v>3641.9299999999994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3517.98</v>
      </c>
      <c r="E25" s="9"/>
      <c r="F25" s="9"/>
      <c r="G25" s="9">
        <v>7.19</v>
      </c>
      <c r="H25" s="9">
        <v>630</v>
      </c>
      <c r="I25" s="9"/>
      <c r="J25" s="9"/>
      <c r="K25" s="19">
        <f t="shared" si="1"/>
        <v>630</v>
      </c>
      <c r="L25" s="19"/>
      <c r="M25" s="19"/>
      <c r="N25" s="19"/>
      <c r="O25" s="41">
        <f t="shared" si="0"/>
        <v>4155.17</v>
      </c>
      <c r="P25" s="19">
        <v>109.98</v>
      </c>
      <c r="Q25" s="19">
        <v>382.96</v>
      </c>
      <c r="R25" s="19">
        <v>43.68</v>
      </c>
      <c r="S25" s="19">
        <v>147.76</v>
      </c>
      <c r="T25" s="19">
        <f t="shared" si="2"/>
        <v>684.38</v>
      </c>
      <c r="U25" s="41">
        <f t="shared" si="3"/>
        <v>3470.79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/>
      <c r="H26" s="9">
        <v>630</v>
      </c>
      <c r="I26" s="9"/>
      <c r="J26" s="43"/>
      <c r="K26" s="19">
        <f t="shared" si="1"/>
        <v>630</v>
      </c>
      <c r="L26" s="19"/>
      <c r="M26" s="19"/>
      <c r="N26" s="19"/>
      <c r="O26" s="41">
        <f t="shared" si="0"/>
        <v>8676.119999999999</v>
      </c>
      <c r="P26" s="19">
        <v>1186.33</v>
      </c>
      <c r="Q26" s="19">
        <v>570.88</v>
      </c>
      <c r="R26" s="19"/>
      <c r="S26" s="19"/>
      <c r="T26" s="19">
        <f t="shared" si="2"/>
        <v>1757.21</v>
      </c>
      <c r="U26" s="41">
        <f t="shared" si="3"/>
        <v>6918.9099999999989</v>
      </c>
    </row>
    <row r="27" spans="1:21" x14ac:dyDescent="0.25">
      <c r="A27" s="6" t="s">
        <v>38</v>
      </c>
      <c r="B27" s="17" t="s">
        <v>81</v>
      </c>
      <c r="C27" s="7" t="s">
        <v>98</v>
      </c>
      <c r="D27" s="19">
        <v>6791.55</v>
      </c>
      <c r="E27" s="9"/>
      <c r="F27" s="9"/>
      <c r="G27" s="9"/>
      <c r="H27" s="9">
        <v>630</v>
      </c>
      <c r="I27" s="9"/>
      <c r="J27" s="9">
        <v>172.2</v>
      </c>
      <c r="K27" s="19">
        <f t="shared" si="1"/>
        <v>802.2</v>
      </c>
      <c r="L27" s="19"/>
      <c r="M27" s="19"/>
      <c r="N27" s="19"/>
      <c r="O27" s="41">
        <f t="shared" si="0"/>
        <v>7593.75</v>
      </c>
      <c r="P27" s="19">
        <v>841.32</v>
      </c>
      <c r="Q27" s="19">
        <v>570.88</v>
      </c>
      <c r="R27" s="19"/>
      <c r="S27" s="19"/>
      <c r="T27" s="19">
        <f t="shared" si="2"/>
        <v>1412.2</v>
      </c>
      <c r="U27" s="41">
        <f t="shared" si="3"/>
        <v>6181.55</v>
      </c>
    </row>
    <row r="28" spans="1:21" x14ac:dyDescent="0.25">
      <c r="A28" s="13" t="s">
        <v>40</v>
      </c>
      <c r="B28" s="15" t="s">
        <v>69</v>
      </c>
      <c r="C28" s="7" t="s">
        <v>100</v>
      </c>
      <c r="D28" s="19">
        <v>3517.98</v>
      </c>
      <c r="E28" s="9"/>
      <c r="F28" s="9"/>
      <c r="G28" s="9"/>
      <c r="H28" s="9">
        <v>630</v>
      </c>
      <c r="I28" s="9"/>
      <c r="J28" s="9">
        <v>273</v>
      </c>
      <c r="K28" s="19">
        <f t="shared" si="1"/>
        <v>903</v>
      </c>
      <c r="L28" s="19"/>
      <c r="M28" s="19"/>
      <c r="N28" s="19"/>
      <c r="O28" s="41">
        <f t="shared" si="0"/>
        <v>4420.9799999999996</v>
      </c>
      <c r="P28" s="19">
        <v>114.34</v>
      </c>
      <c r="Q28" s="19">
        <v>386.56</v>
      </c>
      <c r="R28" s="19">
        <v>3.81</v>
      </c>
      <c r="S28" s="19">
        <v>147.76</v>
      </c>
      <c r="T28" s="19">
        <f t="shared" si="2"/>
        <v>652.47</v>
      </c>
      <c r="U28" s="41">
        <f t="shared" si="3"/>
        <v>3768.5099999999993</v>
      </c>
    </row>
    <row r="29" spans="1:21" x14ac:dyDescent="0.25">
      <c r="A29" s="6" t="s">
        <v>41</v>
      </c>
      <c r="B29" s="7" t="s">
        <v>77</v>
      </c>
      <c r="C29" s="7" t="s">
        <v>96</v>
      </c>
      <c r="D29" s="19">
        <v>8046.12</v>
      </c>
      <c r="E29" s="9"/>
      <c r="F29" s="9"/>
      <c r="G29" s="9"/>
      <c r="H29" s="9">
        <v>630</v>
      </c>
      <c r="I29" s="9"/>
      <c r="J29" s="43"/>
      <c r="K29" s="19">
        <f t="shared" si="1"/>
        <v>630</v>
      </c>
      <c r="L29" s="19"/>
      <c r="M29" s="19"/>
      <c r="N29" s="19"/>
      <c r="O29" s="41">
        <f t="shared" si="0"/>
        <v>8676.119999999999</v>
      </c>
      <c r="P29" s="19">
        <v>1186.33</v>
      </c>
      <c r="Q29" s="19">
        <v>570.88</v>
      </c>
      <c r="R29" s="19"/>
      <c r="S29" s="19"/>
      <c r="T29" s="19">
        <f t="shared" si="2"/>
        <v>1757.21</v>
      </c>
      <c r="U29" s="41">
        <f t="shared" si="3"/>
        <v>6918.9099999999989</v>
      </c>
    </row>
    <row r="30" spans="1:21" x14ac:dyDescent="0.25">
      <c r="A30" s="6" t="s">
        <v>42</v>
      </c>
      <c r="B30" s="7" t="s">
        <v>69</v>
      </c>
      <c r="C30" s="7" t="s">
        <v>100</v>
      </c>
      <c r="D30" s="19">
        <v>3517.98</v>
      </c>
      <c r="E30" s="9"/>
      <c r="F30" s="9"/>
      <c r="G30" s="9"/>
      <c r="H30" s="9">
        <v>630</v>
      </c>
      <c r="I30" s="9">
        <v>250</v>
      </c>
      <c r="J30" s="9">
        <v>273</v>
      </c>
      <c r="K30" s="19">
        <f t="shared" si="1"/>
        <v>1153</v>
      </c>
      <c r="L30" s="19"/>
      <c r="M30" s="19"/>
      <c r="N30" s="19"/>
      <c r="O30" s="41">
        <f t="shared" si="0"/>
        <v>4670.9799999999996</v>
      </c>
      <c r="P30" s="19">
        <v>114.85</v>
      </c>
      <c r="Q30" s="19">
        <v>386.98</v>
      </c>
      <c r="R30" s="19"/>
      <c r="S30" s="19">
        <v>147.76</v>
      </c>
      <c r="T30" s="19">
        <f t="shared" si="2"/>
        <v>649.59</v>
      </c>
      <c r="U30" s="41">
        <f t="shared" si="3"/>
        <v>4021.3899999999994</v>
      </c>
    </row>
    <row r="31" spans="1:21" x14ac:dyDescent="0.25">
      <c r="A31" s="6" t="s">
        <v>43</v>
      </c>
      <c r="B31" s="7" t="s">
        <v>76</v>
      </c>
      <c r="C31" s="7" t="s">
        <v>97</v>
      </c>
      <c r="D31" s="19">
        <v>8046.12</v>
      </c>
      <c r="E31" s="12"/>
      <c r="F31" s="9"/>
      <c r="G31" s="9">
        <v>18.77</v>
      </c>
      <c r="H31" s="9">
        <v>630</v>
      </c>
      <c r="I31" s="9"/>
      <c r="J31" s="9">
        <v>172.2</v>
      </c>
      <c r="K31" s="19">
        <f t="shared" si="1"/>
        <v>802.2</v>
      </c>
      <c r="L31" s="19"/>
      <c r="M31" s="19"/>
      <c r="N31" s="19"/>
      <c r="O31" s="41">
        <f t="shared" si="0"/>
        <v>8867.09</v>
      </c>
      <c r="P31" s="19">
        <v>1185.78</v>
      </c>
      <c r="Q31" s="19">
        <v>570.88</v>
      </c>
      <c r="R31" s="19">
        <v>20.79</v>
      </c>
      <c r="S31" s="19">
        <v>172.2</v>
      </c>
      <c r="T31" s="19">
        <f t="shared" si="2"/>
        <v>1949.6499999999999</v>
      </c>
      <c r="U31" s="41">
        <f t="shared" si="3"/>
        <v>6917.4400000000005</v>
      </c>
    </row>
    <row r="32" spans="1:21" x14ac:dyDescent="0.25">
      <c r="A32" s="7" t="s">
        <v>44</v>
      </c>
      <c r="B32" s="7" t="s">
        <v>69</v>
      </c>
      <c r="C32" s="7" t="s">
        <v>100</v>
      </c>
      <c r="D32" s="19">
        <v>3517.98</v>
      </c>
      <c r="E32" s="9"/>
      <c r="F32" s="9"/>
      <c r="G32" s="9"/>
      <c r="H32" s="9">
        <v>630</v>
      </c>
      <c r="I32" s="9"/>
      <c r="J32" s="9">
        <v>438.9</v>
      </c>
      <c r="K32" s="19">
        <f t="shared" si="1"/>
        <v>1068.9000000000001</v>
      </c>
      <c r="L32" s="19"/>
      <c r="M32" s="19"/>
      <c r="N32" s="19"/>
      <c r="O32" s="41">
        <f t="shared" si="0"/>
        <v>4586.88</v>
      </c>
      <c r="P32" s="19">
        <v>114.85</v>
      </c>
      <c r="Q32" s="19">
        <v>386.98</v>
      </c>
      <c r="R32" s="19"/>
      <c r="S32" s="19">
        <v>147.76</v>
      </c>
      <c r="T32" s="19">
        <f t="shared" si="2"/>
        <v>649.59</v>
      </c>
      <c r="U32" s="41">
        <f t="shared" si="3"/>
        <v>3937.29</v>
      </c>
    </row>
    <row r="33" spans="1:21" x14ac:dyDescent="0.25">
      <c r="A33" s="7" t="s">
        <v>45</v>
      </c>
      <c r="B33" s="7" t="s">
        <v>82</v>
      </c>
      <c r="C33" s="7" t="s">
        <v>97</v>
      </c>
      <c r="D33" s="19">
        <v>12339.48</v>
      </c>
      <c r="E33" s="9"/>
      <c r="F33" s="9"/>
      <c r="G33" s="9"/>
      <c r="H33" s="9">
        <v>630</v>
      </c>
      <c r="I33" s="9"/>
      <c r="J33" s="9">
        <v>1115.52</v>
      </c>
      <c r="K33" s="19">
        <f t="shared" si="1"/>
        <v>1745.52</v>
      </c>
      <c r="L33" s="19"/>
      <c r="M33" s="19"/>
      <c r="N33" s="19"/>
      <c r="O33" s="41">
        <f t="shared" si="0"/>
        <v>14085</v>
      </c>
      <c r="P33" s="19">
        <v>2367.0100000000002</v>
      </c>
      <c r="Q33" s="19">
        <v>570.88</v>
      </c>
      <c r="R33" s="19"/>
      <c r="S33" s="19">
        <v>518.26</v>
      </c>
      <c r="T33" s="19">
        <f t="shared" si="2"/>
        <v>3456.1500000000005</v>
      </c>
      <c r="U33" s="41">
        <f t="shared" si="3"/>
        <v>10628.849999999999</v>
      </c>
    </row>
    <row r="34" spans="1:21" x14ac:dyDescent="0.25">
      <c r="A34" s="7" t="s">
        <v>46</v>
      </c>
      <c r="B34" s="7" t="s">
        <v>83</v>
      </c>
      <c r="C34" s="7" t="s">
        <v>94</v>
      </c>
      <c r="D34" s="19">
        <v>3517.98</v>
      </c>
      <c r="E34" s="9"/>
      <c r="F34" s="9"/>
      <c r="G34" s="9"/>
      <c r="H34" s="9">
        <v>630</v>
      </c>
      <c r="I34" s="9"/>
      <c r="J34" s="9">
        <v>273</v>
      </c>
      <c r="K34" s="19">
        <f t="shared" si="1"/>
        <v>903</v>
      </c>
      <c r="L34" s="19"/>
      <c r="M34" s="19"/>
      <c r="N34" s="19"/>
      <c r="O34" s="41">
        <f t="shared" si="0"/>
        <v>4420.9799999999996</v>
      </c>
      <c r="P34" s="19">
        <v>112.38</v>
      </c>
      <c r="Q34" s="19">
        <v>384.95</v>
      </c>
      <c r="R34" s="19">
        <v>18.47</v>
      </c>
      <c r="S34" s="19">
        <v>147.76</v>
      </c>
      <c r="T34" s="19">
        <f t="shared" si="2"/>
        <v>663.56</v>
      </c>
      <c r="U34" s="41">
        <f t="shared" si="3"/>
        <v>3757.4199999999996</v>
      </c>
    </row>
    <row r="35" spans="1:21" x14ac:dyDescent="0.25">
      <c r="A35" s="7" t="s">
        <v>47</v>
      </c>
      <c r="B35" s="7" t="s">
        <v>84</v>
      </c>
      <c r="C35" s="7" t="s">
        <v>95</v>
      </c>
      <c r="D35" s="19">
        <v>12339.48</v>
      </c>
      <c r="E35" s="9"/>
      <c r="F35" s="9"/>
      <c r="G35" s="9"/>
      <c r="H35" s="9">
        <v>630</v>
      </c>
      <c r="I35" s="9"/>
      <c r="J35" s="9">
        <v>159.6</v>
      </c>
      <c r="K35" s="19">
        <f t="shared" si="1"/>
        <v>789.6</v>
      </c>
      <c r="L35" s="19"/>
      <c r="M35" s="19"/>
      <c r="N35" s="19"/>
      <c r="O35" s="41">
        <f t="shared" si="0"/>
        <v>13129.08</v>
      </c>
      <c r="P35" s="19">
        <v>2367.0100000000002</v>
      </c>
      <c r="Q35" s="19">
        <v>570.88</v>
      </c>
      <c r="R35" s="19"/>
      <c r="S35" s="19">
        <v>159.6</v>
      </c>
      <c r="T35" s="19">
        <f t="shared" si="2"/>
        <v>3097.4900000000002</v>
      </c>
      <c r="U35" s="41">
        <f t="shared" si="3"/>
        <v>10031.59</v>
      </c>
    </row>
    <row r="36" spans="1:21" hidden="1" x14ac:dyDescent="0.25">
      <c r="A36" s="7" t="s">
        <v>119</v>
      </c>
      <c r="B36" s="7" t="s">
        <v>72</v>
      </c>
      <c r="C36" s="7" t="s">
        <v>102</v>
      </c>
      <c r="D36" s="19">
        <v>1308.92</v>
      </c>
      <c r="E36" s="9"/>
      <c r="F36" s="9"/>
      <c r="G36" s="9"/>
      <c r="H36" s="9">
        <v>630</v>
      </c>
      <c r="I36" s="9"/>
      <c r="J36" s="19">
        <v>159.6</v>
      </c>
      <c r="K36" s="28">
        <f t="shared" si="1"/>
        <v>789.6</v>
      </c>
      <c r="L36" s="9"/>
      <c r="M36" s="9"/>
      <c r="N36" s="9"/>
      <c r="O36" s="47">
        <f t="shared" si="0"/>
        <v>2098.52</v>
      </c>
      <c r="P36" s="9"/>
      <c r="Q36" s="9"/>
      <c r="R36" s="9"/>
      <c r="S36" s="9"/>
      <c r="T36" s="9">
        <f t="shared" si="2"/>
        <v>0</v>
      </c>
      <c r="U36" s="47">
        <f t="shared" si="3"/>
        <v>2098.52</v>
      </c>
    </row>
    <row r="37" spans="1:21" x14ac:dyDescent="0.25">
      <c r="A37" s="7" t="s">
        <v>48</v>
      </c>
      <c r="B37" s="7" t="s">
        <v>85</v>
      </c>
      <c r="C37" s="7" t="s">
        <v>102</v>
      </c>
      <c r="D37" s="19">
        <v>9395.69</v>
      </c>
      <c r="E37" s="9"/>
      <c r="F37" s="9"/>
      <c r="G37" s="9"/>
      <c r="H37" s="9">
        <v>630</v>
      </c>
      <c r="I37" s="9"/>
      <c r="J37" s="9"/>
      <c r="K37" s="19">
        <f t="shared" si="1"/>
        <v>630</v>
      </c>
      <c r="L37" s="19"/>
      <c r="M37" s="19"/>
      <c r="N37" s="19"/>
      <c r="O37" s="41">
        <f t="shared" si="0"/>
        <v>10025.69</v>
      </c>
      <c r="P37" s="19">
        <v>1557.46</v>
      </c>
      <c r="Q37" s="19">
        <v>570.88</v>
      </c>
      <c r="R37" s="19"/>
      <c r="S37" s="19"/>
      <c r="T37" s="19">
        <f t="shared" si="2"/>
        <v>2128.34</v>
      </c>
      <c r="U37" s="41">
        <f t="shared" si="3"/>
        <v>7897.35</v>
      </c>
    </row>
    <row r="38" spans="1:21" x14ac:dyDescent="0.25">
      <c r="A38" s="7" t="s">
        <v>49</v>
      </c>
      <c r="B38" s="7" t="s">
        <v>86</v>
      </c>
      <c r="C38" s="7" t="s">
        <v>102</v>
      </c>
      <c r="D38" s="19">
        <v>6791.55</v>
      </c>
      <c r="E38" s="9"/>
      <c r="F38" s="9"/>
      <c r="G38" s="9"/>
      <c r="H38" s="9">
        <v>630</v>
      </c>
      <c r="I38" s="9"/>
      <c r="J38" s="9">
        <v>172.2</v>
      </c>
      <c r="K38" s="19">
        <f t="shared" si="1"/>
        <v>802.2</v>
      </c>
      <c r="L38" s="19"/>
      <c r="M38" s="19"/>
      <c r="N38" s="19"/>
      <c r="O38" s="41">
        <f t="shared" si="0"/>
        <v>7593.75</v>
      </c>
      <c r="P38" s="19">
        <v>841.32</v>
      </c>
      <c r="Q38" s="19">
        <v>570.88</v>
      </c>
      <c r="R38" s="19"/>
      <c r="S38" s="19">
        <v>172.2</v>
      </c>
      <c r="T38" s="19">
        <f t="shared" si="2"/>
        <v>1584.4</v>
      </c>
      <c r="U38" s="41">
        <f t="shared" si="3"/>
        <v>6009.35</v>
      </c>
    </row>
    <row r="39" spans="1:21" x14ac:dyDescent="0.25">
      <c r="A39" s="7" t="s">
        <v>50</v>
      </c>
      <c r="B39" s="7" t="s">
        <v>80</v>
      </c>
      <c r="C39" s="7" t="s">
        <v>101</v>
      </c>
      <c r="D39" s="19">
        <v>3517.98</v>
      </c>
      <c r="E39" s="9"/>
      <c r="F39" s="9"/>
      <c r="G39" s="9">
        <v>89.79</v>
      </c>
      <c r="H39" s="9">
        <v>630</v>
      </c>
      <c r="I39" s="9"/>
      <c r="J39" s="9">
        <v>212.1</v>
      </c>
      <c r="K39" s="19">
        <f>SUM(H39+I39+J39)</f>
        <v>842.1</v>
      </c>
      <c r="L39" s="19"/>
      <c r="M39" s="19"/>
      <c r="N39" s="19"/>
      <c r="O39" s="41">
        <f>SUM(D39+E39+F39+G39+K39+L39+M39+N39)</f>
        <v>4449.87</v>
      </c>
      <c r="P39" s="19">
        <v>126.84</v>
      </c>
      <c r="Q39" s="19">
        <v>396.85</v>
      </c>
      <c r="R39" s="19"/>
      <c r="S39" s="19">
        <v>147.76</v>
      </c>
      <c r="T39" s="19">
        <f t="shared" si="2"/>
        <v>671.45</v>
      </c>
      <c r="U39" s="41">
        <f t="shared" si="3"/>
        <v>3778.42</v>
      </c>
    </row>
    <row r="40" spans="1:21" x14ac:dyDescent="0.25">
      <c r="A40" s="6" t="s">
        <v>51</v>
      </c>
      <c r="B40" s="7" t="s">
        <v>68</v>
      </c>
      <c r="C40" s="7" t="s">
        <v>92</v>
      </c>
      <c r="D40" s="19">
        <v>3517.98</v>
      </c>
      <c r="E40" s="9"/>
      <c r="F40" s="9"/>
      <c r="G40" s="9">
        <v>10.26</v>
      </c>
      <c r="H40" s="9">
        <v>630</v>
      </c>
      <c r="I40" s="9"/>
      <c r="J40" s="9">
        <v>273</v>
      </c>
      <c r="K40" s="19">
        <f t="shared" si="1"/>
        <v>903</v>
      </c>
      <c r="L40" s="12"/>
      <c r="M40" s="19"/>
      <c r="N40" s="19"/>
      <c r="O40" s="41">
        <f t="shared" si="0"/>
        <v>4431.24</v>
      </c>
      <c r="P40" s="19">
        <v>115.71</v>
      </c>
      <c r="Q40" s="19">
        <v>387.69</v>
      </c>
      <c r="R40" s="19">
        <v>38.99</v>
      </c>
      <c r="S40" s="19">
        <v>147.76</v>
      </c>
      <c r="T40" s="19">
        <f t="shared" si="2"/>
        <v>690.15</v>
      </c>
      <c r="U40" s="41">
        <f t="shared" si="3"/>
        <v>3741.0899999999997</v>
      </c>
    </row>
    <row r="41" spans="1:21" x14ac:dyDescent="0.25">
      <c r="A41" s="7" t="s">
        <v>53</v>
      </c>
      <c r="B41" s="7" t="s">
        <v>68</v>
      </c>
      <c r="C41" s="7" t="s">
        <v>92</v>
      </c>
      <c r="D41" s="19">
        <v>3517.98</v>
      </c>
      <c r="E41" s="9"/>
      <c r="F41" s="9"/>
      <c r="G41" s="9"/>
      <c r="H41" s="9">
        <v>630</v>
      </c>
      <c r="I41" s="9"/>
      <c r="J41" s="9">
        <v>172.2</v>
      </c>
      <c r="K41" s="19">
        <f t="shared" si="1"/>
        <v>802.2</v>
      </c>
      <c r="L41" s="19"/>
      <c r="M41" s="19">
        <v>9.3800000000000008</v>
      </c>
      <c r="N41" s="19"/>
      <c r="O41" s="41">
        <f t="shared" si="0"/>
        <v>4329.5600000000004</v>
      </c>
      <c r="P41" s="19">
        <v>116.1</v>
      </c>
      <c r="Q41" s="19">
        <v>388.01</v>
      </c>
      <c r="R41" s="19">
        <v>35.18</v>
      </c>
      <c r="S41" s="19">
        <v>147.76</v>
      </c>
      <c r="T41" s="19">
        <f t="shared" si="2"/>
        <v>687.05</v>
      </c>
      <c r="U41" s="41">
        <f t="shared" si="3"/>
        <v>3642.51</v>
      </c>
    </row>
    <row r="42" spans="1:21" x14ac:dyDescent="0.25">
      <c r="A42" s="7" t="s">
        <v>54</v>
      </c>
      <c r="B42" s="7" t="s">
        <v>76</v>
      </c>
      <c r="C42" s="7" t="s">
        <v>97</v>
      </c>
      <c r="D42" s="19">
        <v>8046.12</v>
      </c>
      <c r="E42" s="9"/>
      <c r="F42" s="9"/>
      <c r="G42" s="9">
        <v>17.61</v>
      </c>
      <c r="H42" s="9">
        <v>630</v>
      </c>
      <c r="I42" s="9">
        <v>250</v>
      </c>
      <c r="J42" s="19"/>
      <c r="K42" s="19">
        <f t="shared" si="1"/>
        <v>880</v>
      </c>
      <c r="L42" s="19"/>
      <c r="M42" s="19"/>
      <c r="N42" s="19"/>
      <c r="O42" s="41">
        <f t="shared" si="0"/>
        <v>8943.73</v>
      </c>
      <c r="P42" s="19">
        <v>1137.3800000000001</v>
      </c>
      <c r="Q42" s="19">
        <v>570.88</v>
      </c>
      <c r="R42" s="19">
        <v>6.03</v>
      </c>
      <c r="S42" s="19"/>
      <c r="T42" s="19">
        <f t="shared" si="2"/>
        <v>1714.2900000000002</v>
      </c>
      <c r="U42" s="41">
        <f t="shared" si="3"/>
        <v>7229.44</v>
      </c>
    </row>
    <row r="43" spans="1:21" x14ac:dyDescent="0.25">
      <c r="A43" s="6" t="s">
        <v>55</v>
      </c>
      <c r="B43" s="7" t="s">
        <v>76</v>
      </c>
      <c r="C43" s="7" t="s">
        <v>97</v>
      </c>
      <c r="D43" s="19">
        <v>8046.12</v>
      </c>
      <c r="E43" s="9"/>
      <c r="F43" s="9"/>
      <c r="G43" s="9">
        <v>26.99</v>
      </c>
      <c r="H43" s="9">
        <v>630</v>
      </c>
      <c r="I43" s="9"/>
      <c r="J43" s="9"/>
      <c r="K43" s="19">
        <f t="shared" si="1"/>
        <v>630</v>
      </c>
      <c r="L43" s="19"/>
      <c r="M43" s="19"/>
      <c r="N43" s="19"/>
      <c r="O43" s="41">
        <f t="shared" si="0"/>
        <v>8703.11</v>
      </c>
      <c r="P43" s="19">
        <v>1193.75</v>
      </c>
      <c r="Q43" s="19">
        <v>570.88</v>
      </c>
      <c r="R43" s="19"/>
      <c r="S43" s="19"/>
      <c r="T43" s="19">
        <f t="shared" si="2"/>
        <v>1764.63</v>
      </c>
      <c r="U43" s="41">
        <f t="shared" si="3"/>
        <v>6938.4800000000005</v>
      </c>
    </row>
    <row r="44" spans="1:21" hidden="1" x14ac:dyDescent="0.25">
      <c r="A44" s="6" t="s">
        <v>56</v>
      </c>
      <c r="B44" s="7" t="s">
        <v>72</v>
      </c>
      <c r="C44" s="7" t="s">
        <v>94</v>
      </c>
      <c r="D44" s="19">
        <v>1308.92</v>
      </c>
      <c r="E44" s="9"/>
      <c r="F44" s="9"/>
      <c r="G44" s="9"/>
      <c r="H44" s="9">
        <v>630</v>
      </c>
      <c r="I44" s="9"/>
      <c r="J44" s="9">
        <v>273</v>
      </c>
      <c r="K44" s="28">
        <f t="shared" si="1"/>
        <v>903</v>
      </c>
      <c r="L44" s="9"/>
      <c r="M44" s="9"/>
      <c r="N44" s="9"/>
      <c r="O44" s="47">
        <f t="shared" si="0"/>
        <v>2211.92</v>
      </c>
      <c r="P44" s="9"/>
      <c r="Q44" s="9"/>
      <c r="R44" s="9"/>
      <c r="S44" s="9"/>
      <c r="T44" s="9">
        <f t="shared" si="2"/>
        <v>0</v>
      </c>
      <c r="U44" s="47">
        <f t="shared" si="3"/>
        <v>2211.92</v>
      </c>
    </row>
    <row r="45" spans="1:21" x14ac:dyDescent="0.25">
      <c r="A45" s="6" t="s">
        <v>57</v>
      </c>
      <c r="B45" s="7" t="s">
        <v>76</v>
      </c>
      <c r="C45" s="7" t="s">
        <v>96</v>
      </c>
      <c r="D45" s="19">
        <v>8046.12</v>
      </c>
      <c r="E45" s="9"/>
      <c r="F45" s="9"/>
      <c r="G45" s="9"/>
      <c r="H45" s="9">
        <v>630</v>
      </c>
      <c r="I45" s="9"/>
      <c r="J45" s="43"/>
      <c r="K45" s="19">
        <f t="shared" si="1"/>
        <v>630</v>
      </c>
      <c r="L45" s="19"/>
      <c r="M45" s="19"/>
      <c r="N45" s="19"/>
      <c r="O45" s="41">
        <f t="shared" si="0"/>
        <v>8676.119999999999</v>
      </c>
      <c r="P45" s="19">
        <v>1185.23</v>
      </c>
      <c r="Q45" s="19">
        <v>570.88</v>
      </c>
      <c r="R45" s="19">
        <v>4.0199999999999996</v>
      </c>
      <c r="S45" s="19"/>
      <c r="T45" s="19">
        <f t="shared" si="2"/>
        <v>1760.13</v>
      </c>
      <c r="U45" s="41">
        <f t="shared" si="3"/>
        <v>6915.9899999999989</v>
      </c>
    </row>
    <row r="46" spans="1:21" x14ac:dyDescent="0.25">
      <c r="A46" s="6" t="s">
        <v>58</v>
      </c>
      <c r="B46" s="7" t="s">
        <v>68</v>
      </c>
      <c r="C46" s="7" t="s">
        <v>92</v>
      </c>
      <c r="D46" s="19">
        <v>3517.98</v>
      </c>
      <c r="E46" s="9"/>
      <c r="F46" s="9"/>
      <c r="G46" s="9"/>
      <c r="H46" s="9">
        <v>630</v>
      </c>
      <c r="I46" s="9"/>
      <c r="J46" s="9">
        <v>273</v>
      </c>
      <c r="K46" s="19">
        <f t="shared" si="1"/>
        <v>903</v>
      </c>
      <c r="L46" s="19"/>
      <c r="M46" s="19"/>
      <c r="N46" s="19"/>
      <c r="O46" s="41">
        <f t="shared" si="0"/>
        <v>4420.9799999999996</v>
      </c>
      <c r="P46" s="19">
        <v>63.59</v>
      </c>
      <c r="Q46" s="19">
        <v>386.98</v>
      </c>
      <c r="R46" s="19">
        <v>35.18</v>
      </c>
      <c r="S46" s="19">
        <v>147.76</v>
      </c>
      <c r="T46" s="19">
        <f t="shared" si="2"/>
        <v>633.51</v>
      </c>
      <c r="U46" s="41">
        <f t="shared" si="3"/>
        <v>3787.4699999999993</v>
      </c>
    </row>
    <row r="47" spans="1:21" x14ac:dyDescent="0.25">
      <c r="A47" s="6" t="s">
        <v>59</v>
      </c>
      <c r="B47" s="7" t="s">
        <v>76</v>
      </c>
      <c r="C47" s="7" t="s">
        <v>96</v>
      </c>
      <c r="D47" s="19">
        <v>8046.12</v>
      </c>
      <c r="E47" s="9"/>
      <c r="F47" s="9"/>
      <c r="G47" s="9">
        <v>25.82</v>
      </c>
      <c r="H47" s="9">
        <v>630</v>
      </c>
      <c r="I47" s="9"/>
      <c r="J47" s="43">
        <v>172.2</v>
      </c>
      <c r="K47" s="19">
        <f t="shared" si="1"/>
        <v>802.2</v>
      </c>
      <c r="L47" s="19"/>
      <c r="M47" s="19"/>
      <c r="N47" s="19"/>
      <c r="O47" s="41">
        <f t="shared" si="0"/>
        <v>8874.14</v>
      </c>
      <c r="P47" s="19">
        <v>1193.43</v>
      </c>
      <c r="Q47" s="19">
        <v>570.88</v>
      </c>
      <c r="R47" s="19"/>
      <c r="S47" s="19">
        <v>172.2</v>
      </c>
      <c r="T47" s="19">
        <f t="shared" si="2"/>
        <v>1936.51</v>
      </c>
      <c r="U47" s="41">
        <f t="shared" si="3"/>
        <v>6937.6299999999992</v>
      </c>
    </row>
    <row r="48" spans="1:21" x14ac:dyDescent="0.25">
      <c r="A48" s="6" t="s">
        <v>60</v>
      </c>
      <c r="B48" s="7" t="s">
        <v>87</v>
      </c>
      <c r="C48" s="7" t="s">
        <v>94</v>
      </c>
      <c r="D48" s="19">
        <v>6791.55</v>
      </c>
      <c r="E48" s="9"/>
      <c r="F48" s="9"/>
      <c r="G48" s="9"/>
      <c r="H48" s="9">
        <v>630</v>
      </c>
      <c r="I48" s="9"/>
      <c r="J48" s="9">
        <v>159.6</v>
      </c>
      <c r="K48" s="19">
        <f>SUM(H48+I48+J48)</f>
        <v>789.6</v>
      </c>
      <c r="L48" s="19"/>
      <c r="M48" s="19"/>
      <c r="N48" s="19"/>
      <c r="O48" s="41">
        <f t="shared" si="0"/>
        <v>7581.1500000000005</v>
      </c>
      <c r="P48" s="19">
        <v>832.61</v>
      </c>
      <c r="Q48" s="19">
        <v>570.88</v>
      </c>
      <c r="R48" s="19">
        <v>31.69</v>
      </c>
      <c r="S48" s="19">
        <v>159.6</v>
      </c>
      <c r="T48" s="19">
        <f t="shared" si="2"/>
        <v>1594.78</v>
      </c>
      <c r="U48" s="41">
        <f t="shared" si="3"/>
        <v>5986.3700000000008</v>
      </c>
    </row>
    <row r="49" spans="1:21" x14ac:dyDescent="0.25">
      <c r="A49" s="6" t="s">
        <v>61</v>
      </c>
      <c r="B49" s="7" t="s">
        <v>88</v>
      </c>
      <c r="C49" s="7" t="s">
        <v>93</v>
      </c>
      <c r="D49" s="19">
        <v>5637.41</v>
      </c>
      <c r="E49" s="9">
        <v>3758.28</v>
      </c>
      <c r="F49" s="9"/>
      <c r="G49" s="9"/>
      <c r="H49" s="9">
        <v>330</v>
      </c>
      <c r="I49" s="9"/>
      <c r="J49" s="9">
        <v>90.2</v>
      </c>
      <c r="K49" s="19">
        <f t="shared" si="1"/>
        <v>420.2</v>
      </c>
      <c r="L49" s="19">
        <v>1252.76</v>
      </c>
      <c r="M49" s="19"/>
      <c r="N49" s="19"/>
      <c r="O49" s="41">
        <f t="shared" si="0"/>
        <v>11068.650000000001</v>
      </c>
      <c r="P49" s="19">
        <v>675.52</v>
      </c>
      <c r="Q49" s="19">
        <v>570.88</v>
      </c>
      <c r="R49" s="19"/>
      <c r="S49" s="19">
        <v>90.2</v>
      </c>
      <c r="T49" s="19">
        <f t="shared" si="2"/>
        <v>1336.6000000000001</v>
      </c>
      <c r="U49" s="41">
        <f t="shared" si="3"/>
        <v>9732.0500000000011</v>
      </c>
    </row>
    <row r="50" spans="1:21" x14ac:dyDescent="0.25">
      <c r="A50" s="7" t="s">
        <v>62</v>
      </c>
      <c r="B50" s="7" t="s">
        <v>83</v>
      </c>
      <c r="C50" s="7" t="s">
        <v>94</v>
      </c>
      <c r="D50" s="19">
        <v>1876.26</v>
      </c>
      <c r="E50" s="9">
        <v>1641.72</v>
      </c>
      <c r="F50" s="9"/>
      <c r="G50" s="9"/>
      <c r="H50" s="9">
        <v>330</v>
      </c>
      <c r="I50" s="9"/>
      <c r="J50" s="9">
        <v>220</v>
      </c>
      <c r="K50" s="19">
        <f t="shared" si="1"/>
        <v>550</v>
      </c>
      <c r="L50" s="19">
        <v>547.24</v>
      </c>
      <c r="M50" s="19"/>
      <c r="N50" s="19"/>
      <c r="O50" s="41">
        <f t="shared" si="0"/>
        <v>4615.22</v>
      </c>
      <c r="P50" s="19"/>
      <c r="Q50" s="19">
        <v>447.17</v>
      </c>
      <c r="R50" s="19">
        <v>18.760000000000002</v>
      </c>
      <c r="S50" s="19">
        <v>77.400000000000006</v>
      </c>
      <c r="T50" s="19">
        <f t="shared" si="2"/>
        <v>543.33000000000004</v>
      </c>
      <c r="U50" s="41">
        <f t="shared" si="3"/>
        <v>4071.8900000000003</v>
      </c>
    </row>
    <row r="51" spans="1:21" x14ac:dyDescent="0.25">
      <c r="A51" s="7" t="s">
        <v>63</v>
      </c>
      <c r="B51" s="7" t="s">
        <v>89</v>
      </c>
      <c r="C51" s="7" t="s">
        <v>98</v>
      </c>
      <c r="D51" s="19">
        <v>6791.55</v>
      </c>
      <c r="E51" s="9"/>
      <c r="F51" s="9"/>
      <c r="G51" s="9"/>
      <c r="H51" s="9">
        <v>630</v>
      </c>
      <c r="I51" s="9"/>
      <c r="J51" s="9">
        <v>172.2</v>
      </c>
      <c r="K51" s="19">
        <f t="shared" si="1"/>
        <v>802.2</v>
      </c>
      <c r="L51" s="19"/>
      <c r="M51" s="19"/>
      <c r="N51" s="19"/>
      <c r="O51" s="41">
        <f t="shared" si="0"/>
        <v>7593.75</v>
      </c>
      <c r="P51" s="19">
        <v>841.32</v>
      </c>
      <c r="Q51" s="19">
        <v>570.88</v>
      </c>
      <c r="R51" s="19"/>
      <c r="S51" s="19">
        <v>172.2</v>
      </c>
      <c r="T51" s="19">
        <f t="shared" si="2"/>
        <v>1584.4</v>
      </c>
      <c r="U51" s="41">
        <f t="shared" si="3"/>
        <v>6009.35</v>
      </c>
    </row>
    <row r="52" spans="1:21" hidden="1" x14ac:dyDescent="0.25">
      <c r="A52" s="13" t="s">
        <v>129</v>
      </c>
      <c r="B52" s="15" t="s">
        <v>72</v>
      </c>
      <c r="C52" s="7" t="s">
        <v>106</v>
      </c>
      <c r="D52" s="41">
        <v>1308.92</v>
      </c>
      <c r="E52" s="9"/>
      <c r="F52" s="9"/>
      <c r="G52" s="9"/>
      <c r="H52" s="9">
        <v>630</v>
      </c>
      <c r="I52" s="9"/>
      <c r="J52" s="43">
        <v>273</v>
      </c>
      <c r="K52" s="28">
        <f t="shared" si="1"/>
        <v>903</v>
      </c>
      <c r="L52" s="9"/>
      <c r="M52" s="9"/>
      <c r="N52" s="9"/>
      <c r="O52" s="47">
        <f t="shared" si="0"/>
        <v>2211.92</v>
      </c>
      <c r="P52" s="9"/>
      <c r="Q52" s="9"/>
      <c r="R52" s="9"/>
      <c r="S52" s="9"/>
      <c r="T52" s="9">
        <f t="shared" si="2"/>
        <v>0</v>
      </c>
      <c r="U52" s="47">
        <f t="shared" si="3"/>
        <v>2211.92</v>
      </c>
    </row>
    <row r="53" spans="1:21" x14ac:dyDescent="0.25">
      <c r="A53" s="6" t="s">
        <v>64</v>
      </c>
      <c r="B53" s="7" t="s">
        <v>68</v>
      </c>
      <c r="C53" s="7" t="s">
        <v>96</v>
      </c>
      <c r="D53" s="19">
        <v>3517.98</v>
      </c>
      <c r="E53" s="9"/>
      <c r="F53" s="9"/>
      <c r="G53" s="9"/>
      <c r="H53" s="9">
        <v>630</v>
      </c>
      <c r="I53" s="9"/>
      <c r="J53" s="43">
        <v>172.2</v>
      </c>
      <c r="K53" s="19">
        <f t="shared" si="1"/>
        <v>802.2</v>
      </c>
      <c r="L53" s="19"/>
      <c r="M53" s="19"/>
      <c r="N53" s="19"/>
      <c r="O53" s="41">
        <f t="shared" si="0"/>
        <v>4320.18</v>
      </c>
      <c r="P53" s="19">
        <v>114.85</v>
      </c>
      <c r="Q53" s="19">
        <v>386.98</v>
      </c>
      <c r="R53" s="19"/>
      <c r="S53" s="19">
        <v>147.76</v>
      </c>
      <c r="T53" s="19">
        <f t="shared" si="2"/>
        <v>649.59</v>
      </c>
      <c r="U53" s="41">
        <f t="shared" si="3"/>
        <v>3670.59</v>
      </c>
    </row>
    <row r="54" spans="1:21" x14ac:dyDescent="0.25">
      <c r="A54" s="7" t="s">
        <v>65</v>
      </c>
      <c r="B54" s="7" t="s">
        <v>90</v>
      </c>
      <c r="C54" s="7" t="s">
        <v>100</v>
      </c>
      <c r="D54" s="19">
        <v>6791.55</v>
      </c>
      <c r="E54" s="9"/>
      <c r="F54" s="9"/>
      <c r="G54" s="9"/>
      <c r="H54" s="9">
        <v>630</v>
      </c>
      <c r="I54" s="9"/>
      <c r="J54" s="9"/>
      <c r="K54" s="19">
        <f t="shared" si="1"/>
        <v>630</v>
      </c>
      <c r="L54" s="19"/>
      <c r="M54" s="19"/>
      <c r="N54" s="19"/>
      <c r="O54" s="41">
        <f t="shared" si="0"/>
        <v>7421.55</v>
      </c>
      <c r="P54" s="19">
        <v>841.32</v>
      </c>
      <c r="Q54" s="19">
        <v>570.88</v>
      </c>
      <c r="R54" s="19"/>
      <c r="S54" s="19"/>
      <c r="T54" s="19">
        <f t="shared" si="2"/>
        <v>1412.2</v>
      </c>
      <c r="U54" s="41">
        <f t="shared" si="3"/>
        <v>6009.35</v>
      </c>
    </row>
    <row r="55" spans="1:21" hidden="1" x14ac:dyDescent="0.25">
      <c r="A55" s="6" t="s">
        <v>66</v>
      </c>
      <c r="B55" s="7" t="s">
        <v>72</v>
      </c>
      <c r="C55" s="7" t="s">
        <v>102</v>
      </c>
      <c r="D55" s="19">
        <v>1308.92</v>
      </c>
      <c r="E55" s="9"/>
      <c r="F55" s="9"/>
      <c r="G55" s="9"/>
      <c r="H55" s="9">
        <v>630</v>
      </c>
      <c r="I55" s="9"/>
      <c r="J55" s="9">
        <v>143</v>
      </c>
      <c r="K55" s="28">
        <f t="shared" si="1"/>
        <v>773</v>
      </c>
      <c r="L55" s="9"/>
      <c r="M55" s="9"/>
      <c r="N55" s="9"/>
      <c r="O55" s="47">
        <f t="shared" si="0"/>
        <v>2081.92</v>
      </c>
      <c r="P55" s="9"/>
      <c r="Q55" s="9"/>
      <c r="R55" s="9"/>
      <c r="S55" s="9"/>
      <c r="T55" s="9">
        <f t="shared" si="2"/>
        <v>0</v>
      </c>
      <c r="U55" s="47">
        <f t="shared" si="3"/>
        <v>2081.92</v>
      </c>
    </row>
    <row r="56" spans="1:21" x14ac:dyDescent="0.25">
      <c r="A56" s="7" t="s">
        <v>67</v>
      </c>
      <c r="B56" s="7" t="s">
        <v>91</v>
      </c>
      <c r="C56" s="7" t="s">
        <v>95</v>
      </c>
      <c r="D56" s="19">
        <v>9395.69</v>
      </c>
      <c r="E56" s="9"/>
      <c r="F56" s="9"/>
      <c r="G56" s="9"/>
      <c r="H56" s="9">
        <v>630</v>
      </c>
      <c r="I56" s="9"/>
      <c r="J56" s="9"/>
      <c r="K56" s="19">
        <f>SUM(H56+I56+J56)</f>
        <v>630</v>
      </c>
      <c r="L56" s="19"/>
      <c r="M56" s="19"/>
      <c r="N56" s="19"/>
      <c r="O56" s="41">
        <f>SUM(D56+E56+F56+G56+K56+L56+M56+N56)</f>
        <v>10025.69</v>
      </c>
      <c r="P56" s="19">
        <v>1557.46</v>
      </c>
      <c r="Q56" s="19">
        <v>570.88</v>
      </c>
      <c r="R56" s="19"/>
      <c r="S56" s="19"/>
      <c r="T56" s="19">
        <f t="shared" si="2"/>
        <v>2128.34</v>
      </c>
      <c r="U56" s="41">
        <f>SUM(O56-T56)</f>
        <v>7897.35</v>
      </c>
    </row>
    <row r="57" spans="1:21" hidden="1" x14ac:dyDescent="0.25">
      <c r="A57" s="2"/>
      <c r="B57" s="2"/>
      <c r="C57" s="2"/>
      <c r="D57" s="2"/>
      <c r="E57" s="2"/>
      <c r="F57" s="2"/>
      <c r="G57" s="2"/>
      <c r="H57" s="27">
        <f>SUM(H5:H56)</f>
        <v>30720</v>
      </c>
      <c r="I57" s="27">
        <f>SUM(I5:I56)</f>
        <v>750</v>
      </c>
      <c r="J57" s="27">
        <f>SUM(J5:J56)</f>
        <v>8659.52</v>
      </c>
      <c r="K57" s="1"/>
      <c r="L57" s="2"/>
      <c r="M57" s="2"/>
      <c r="N57" s="2"/>
      <c r="O57" s="3"/>
      <c r="P57" s="2"/>
      <c r="Q57" s="2"/>
      <c r="R57" s="2"/>
      <c r="S57" s="2"/>
      <c r="T57" s="2"/>
      <c r="U57" s="44">
        <f>SUM(U5:U56)</f>
        <v>281700.34000000003</v>
      </c>
    </row>
    <row r="58" spans="1:21" ht="19.5" x14ac:dyDescent="0.3">
      <c r="A58" s="21" t="s">
        <v>108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  <c r="Q58" s="2"/>
      <c r="R58" s="2"/>
      <c r="S58" s="2"/>
      <c r="T58" s="2"/>
      <c r="U58" s="2"/>
    </row>
    <row r="59" spans="1:21" ht="15.75" x14ac:dyDescent="0.25">
      <c r="A59" s="32" t="s">
        <v>0</v>
      </c>
      <c r="B59" s="32" t="s">
        <v>1</v>
      </c>
      <c r="C59" s="32" t="s">
        <v>2</v>
      </c>
      <c r="D59" s="32" t="s">
        <v>111</v>
      </c>
      <c r="E59" s="32" t="s">
        <v>110</v>
      </c>
      <c r="F59" s="32" t="s">
        <v>11</v>
      </c>
      <c r="G59" s="32" t="s">
        <v>12</v>
      </c>
      <c r="H59" s="32" t="s">
        <v>109</v>
      </c>
      <c r="I59" s="2"/>
      <c r="J59" s="2"/>
      <c r="K59" s="2"/>
      <c r="L59" s="2"/>
      <c r="M59" s="3"/>
      <c r="N59" s="2"/>
      <c r="O59" s="2"/>
      <c r="P59" s="2"/>
      <c r="Q59" s="2"/>
      <c r="R59" s="2"/>
      <c r="S59" s="2"/>
      <c r="T59" s="2"/>
      <c r="U59" s="2"/>
    </row>
  </sheetData>
  <autoFilter ref="A4:U59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  <filter val="SECRETARIO EXECUTIVO"/>
      </filters>
    </filterColumn>
  </autoFilter>
  <pageMargins left="0.51181102362204722" right="0.51181102362204722" top="0.78740157480314965" bottom="0.78740157480314965" header="0.31496062992125984" footer="0.31496062992125984"/>
  <pageSetup paperSize="9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64"/>
  <sheetViews>
    <sheetView showGridLines="0" workbookViewId="0">
      <pane xSplit="1" topLeftCell="B1" activePane="topRight" state="frozen"/>
      <selection pane="topRight" activeCell="A61" sqref="A61:G63"/>
    </sheetView>
  </sheetViews>
  <sheetFormatPr defaultRowHeight="15" x14ac:dyDescent="0.25"/>
  <cols>
    <col min="1" max="1" width="51.85546875" customWidth="1"/>
    <col min="2" max="2" width="32.42578125" customWidth="1"/>
    <col min="3" max="3" width="35.42578125" customWidth="1"/>
    <col min="4" max="4" width="24.140625" customWidth="1"/>
    <col min="5" max="5" width="17.140625" customWidth="1"/>
    <col min="6" max="6" width="14.42578125" customWidth="1"/>
    <col min="7" max="7" width="15.28515625" customWidth="1"/>
    <col min="8" max="8" width="19.28515625" hidden="1" customWidth="1"/>
    <col min="9" max="9" width="16.28515625" hidden="1" customWidth="1"/>
    <col min="10" max="10" width="16.140625" hidden="1" customWidth="1"/>
    <col min="11" max="11" width="19.85546875" customWidth="1"/>
    <col min="12" max="12" width="16.85546875" customWidth="1"/>
    <col min="13" max="13" width="14.42578125" customWidth="1"/>
    <col min="14" max="14" width="13.42578125" customWidth="1"/>
    <col min="15" max="15" width="15.28515625" customWidth="1"/>
    <col min="16" max="16" width="12.85546875" customWidth="1"/>
    <col min="17" max="17" width="17" customWidth="1"/>
    <col min="18" max="18" width="14.5703125" customWidth="1"/>
    <col min="19" max="19" width="16.42578125" customWidth="1"/>
    <col min="20" max="20" width="14" customWidth="1"/>
    <col min="21" max="21" width="17.85546875" customWidth="1"/>
  </cols>
  <sheetData>
    <row r="1" spans="1:22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8.75" x14ac:dyDescent="0.3">
      <c r="A2" s="45" t="s">
        <v>132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2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600</v>
      </c>
      <c r="I5" s="9"/>
      <c r="J5" s="9">
        <v>400</v>
      </c>
      <c r="K5" s="19">
        <f>SUM(H5:I5:J5)</f>
        <v>1000</v>
      </c>
      <c r="L5" s="19"/>
      <c r="M5" s="19"/>
      <c r="N5" s="19"/>
      <c r="O5" s="41">
        <f t="shared" ref="O5:O36" si="0">SUM(D5+E5+F5+G5+K5+L5+M5+N5)</f>
        <v>4517.9799999999996</v>
      </c>
      <c r="P5" s="19">
        <v>114.85</v>
      </c>
      <c r="Q5" s="19">
        <v>386.98</v>
      </c>
      <c r="R5" s="19">
        <v>35.18</v>
      </c>
      <c r="S5" s="19">
        <v>140.72</v>
      </c>
      <c r="T5" s="19">
        <f>SUM(P5:Q5:R5:S5)</f>
        <v>677.73</v>
      </c>
      <c r="U5" s="41">
        <f t="shared" ref="U5:U36" si="1">SUM(O5-T5)</f>
        <v>3840.2499999999995</v>
      </c>
    </row>
    <row r="6" spans="1:22" x14ac:dyDescent="0.25">
      <c r="A6" s="6" t="s">
        <v>18</v>
      </c>
      <c r="B6" s="7" t="s">
        <v>69</v>
      </c>
      <c r="C6" s="7" t="s">
        <v>93</v>
      </c>
      <c r="D6" s="19">
        <v>2345.3200000000002</v>
      </c>
      <c r="E6" s="9">
        <v>1172.6600000000001</v>
      </c>
      <c r="F6" s="9"/>
      <c r="G6" s="9">
        <v>35.909999999999997</v>
      </c>
      <c r="H6" s="9">
        <v>600</v>
      </c>
      <c r="I6" s="9">
        <v>250</v>
      </c>
      <c r="J6" s="9"/>
      <c r="K6" s="19">
        <f>SUM(H6:I6:J6)</f>
        <v>850</v>
      </c>
      <c r="L6" s="19">
        <v>398.64</v>
      </c>
      <c r="M6" s="19"/>
      <c r="N6" s="19"/>
      <c r="O6" s="41">
        <f t="shared" si="0"/>
        <v>4802.5300000000007</v>
      </c>
      <c r="P6" s="19"/>
      <c r="Q6" s="19">
        <v>437.34</v>
      </c>
      <c r="R6" s="19"/>
      <c r="S6" s="19"/>
      <c r="T6" s="19">
        <f>SUM(P6:Q6:R6:S6)</f>
        <v>437.34</v>
      </c>
      <c r="U6" s="41">
        <f t="shared" si="1"/>
        <v>4365.1900000000005</v>
      </c>
    </row>
    <row r="7" spans="1:22" x14ac:dyDescent="0.25">
      <c r="A7" s="10" t="s">
        <v>19</v>
      </c>
      <c r="B7" s="11" t="s">
        <v>70</v>
      </c>
      <c r="C7" s="11" t="s">
        <v>94</v>
      </c>
      <c r="D7" s="19">
        <v>0</v>
      </c>
      <c r="E7" s="9">
        <v>12339.48</v>
      </c>
      <c r="F7" s="9"/>
      <c r="G7" s="9"/>
      <c r="H7" s="9">
        <v>600</v>
      </c>
      <c r="I7" s="9"/>
      <c r="J7" s="9"/>
      <c r="K7" s="19">
        <f>SUM(H7:I7:J7)</f>
        <v>600</v>
      </c>
      <c r="L7" s="19">
        <v>4113.16</v>
      </c>
      <c r="M7" s="19"/>
      <c r="N7" s="19"/>
      <c r="O7" s="41">
        <f t="shared" si="0"/>
        <v>17052.64</v>
      </c>
      <c r="P7" s="19">
        <v>3445.99</v>
      </c>
      <c r="Q7" s="19">
        <v>570.88</v>
      </c>
      <c r="R7" s="19"/>
      <c r="S7" s="19"/>
      <c r="T7" s="19">
        <f>SUM(P7:Q7:R7:S7)</f>
        <v>4016.87</v>
      </c>
      <c r="U7" s="41">
        <f t="shared" si="1"/>
        <v>13035.77</v>
      </c>
    </row>
    <row r="8" spans="1:22" x14ac:dyDescent="0.25">
      <c r="A8" s="10" t="s">
        <v>20</v>
      </c>
      <c r="B8" s="11" t="s">
        <v>71</v>
      </c>
      <c r="C8" s="11" t="s">
        <v>95</v>
      </c>
      <c r="D8" s="19">
        <v>2574.87</v>
      </c>
      <c r="E8" s="9">
        <v>2574.87</v>
      </c>
      <c r="F8" s="9"/>
      <c r="G8" s="19"/>
      <c r="H8" s="9">
        <v>300</v>
      </c>
      <c r="I8" s="9"/>
      <c r="J8" s="9">
        <v>76</v>
      </c>
      <c r="K8" s="19">
        <f>SUM(H8:I8:J8)</f>
        <v>376</v>
      </c>
      <c r="L8" s="19">
        <v>866.43</v>
      </c>
      <c r="M8" s="19"/>
      <c r="N8" s="19"/>
      <c r="O8" s="41">
        <f t="shared" si="0"/>
        <v>6392.17</v>
      </c>
      <c r="P8" s="19"/>
      <c r="Q8" s="19">
        <v>570.88</v>
      </c>
      <c r="R8" s="19">
        <v>0.5</v>
      </c>
      <c r="S8" s="19">
        <v>76</v>
      </c>
      <c r="T8" s="19">
        <f>SUM(P8:Q8:R8:S8)</f>
        <v>647.38</v>
      </c>
      <c r="U8" s="41">
        <f t="shared" si="1"/>
        <v>5744.79</v>
      </c>
    </row>
    <row r="9" spans="1:22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>
        <v>64.650000000000006</v>
      </c>
      <c r="G9" s="9"/>
      <c r="H9" s="9">
        <v>600</v>
      </c>
      <c r="I9" s="9"/>
      <c r="J9" s="9">
        <v>260</v>
      </c>
      <c r="K9" s="19">
        <f>SUM(H9:I9:J9)</f>
        <v>860</v>
      </c>
      <c r="L9" s="19"/>
      <c r="M9" s="19"/>
      <c r="N9" s="19"/>
      <c r="O9" s="41">
        <f t="shared" si="0"/>
        <v>4442.63</v>
      </c>
      <c r="P9" s="19">
        <v>95.04</v>
      </c>
      <c r="Q9" s="19">
        <v>394.09</v>
      </c>
      <c r="R9" s="19">
        <v>35.18</v>
      </c>
      <c r="S9" s="19">
        <v>140.72</v>
      </c>
      <c r="T9" s="19">
        <f>SUM(P9:Q9:R9:S9)</f>
        <v>665.03</v>
      </c>
      <c r="U9" s="41">
        <f t="shared" si="1"/>
        <v>3777.6000000000004</v>
      </c>
    </row>
    <row r="10" spans="1:22" x14ac:dyDescent="0.25">
      <c r="A10" s="6" t="s">
        <v>23</v>
      </c>
      <c r="B10" s="7" t="s">
        <v>68</v>
      </c>
      <c r="C10" s="7" t="s">
        <v>96</v>
      </c>
      <c r="D10" s="19">
        <v>2228.0500000000002</v>
      </c>
      <c r="E10" s="9">
        <v>1289.93</v>
      </c>
      <c r="F10" s="9"/>
      <c r="G10" s="9"/>
      <c r="H10" s="9">
        <v>360</v>
      </c>
      <c r="I10" s="9"/>
      <c r="J10" s="42">
        <v>91.2</v>
      </c>
      <c r="K10" s="19">
        <f>SUM(H10:I10:J10)</f>
        <v>451.2</v>
      </c>
      <c r="L10" s="19">
        <v>429.98</v>
      </c>
      <c r="M10" s="19"/>
      <c r="N10" s="19"/>
      <c r="O10" s="41">
        <f t="shared" si="0"/>
        <v>4399.16</v>
      </c>
      <c r="P10" s="19"/>
      <c r="Q10" s="19">
        <v>434.28</v>
      </c>
      <c r="R10" s="19">
        <v>22.28</v>
      </c>
      <c r="S10" s="19">
        <v>84.43</v>
      </c>
      <c r="T10" s="19">
        <f>SUM(P10:Q10:R10:S10)</f>
        <v>540.99</v>
      </c>
      <c r="U10" s="41">
        <f t="shared" si="1"/>
        <v>3858.17</v>
      </c>
    </row>
    <row r="11" spans="1:22" hidden="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300</v>
      </c>
      <c r="I11" s="9"/>
      <c r="J11" s="9">
        <v>158</v>
      </c>
      <c r="K11" s="28">
        <f>SUM(H11:I11:J11)</f>
        <v>458</v>
      </c>
      <c r="L11" s="9"/>
      <c r="M11" s="9"/>
      <c r="N11" s="9"/>
      <c r="O11" s="47">
        <f t="shared" si="0"/>
        <v>1766.92</v>
      </c>
      <c r="P11" s="9"/>
      <c r="Q11" s="9"/>
      <c r="R11" s="9"/>
      <c r="S11" s="9"/>
      <c r="T11" s="9">
        <f>SUM(P11:Q11:R11:S11)</f>
        <v>0</v>
      </c>
      <c r="U11" s="47">
        <f t="shared" si="1"/>
        <v>1766.92</v>
      </c>
    </row>
    <row r="12" spans="1:22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600</v>
      </c>
      <c r="I12" s="9"/>
      <c r="J12" s="9"/>
      <c r="K12" s="19">
        <f>SUM(H12:I12:J12)</f>
        <v>600</v>
      </c>
      <c r="L12" s="12"/>
      <c r="M12" s="19"/>
      <c r="N12" s="19"/>
      <c r="O12" s="41">
        <f t="shared" si="0"/>
        <v>9995.69</v>
      </c>
      <c r="P12" s="19">
        <v>1557.46</v>
      </c>
      <c r="Q12" s="19">
        <v>570.88</v>
      </c>
      <c r="R12" s="19"/>
      <c r="S12" s="19"/>
      <c r="T12" s="19">
        <f>SUM(P12:Q12:R12:S12)</f>
        <v>2128.34</v>
      </c>
      <c r="U12" s="41">
        <f t="shared" si="1"/>
        <v>7867.35</v>
      </c>
    </row>
    <row r="13" spans="1:22" x14ac:dyDescent="0.25">
      <c r="A13" s="7" t="s">
        <v>26</v>
      </c>
      <c r="B13" s="7" t="s">
        <v>68</v>
      </c>
      <c r="C13" s="7" t="s">
        <v>96</v>
      </c>
      <c r="D13" s="19">
        <v>2345.3200000000002</v>
      </c>
      <c r="E13" s="9"/>
      <c r="F13" s="9"/>
      <c r="G13" s="9"/>
      <c r="H13" s="9">
        <v>600</v>
      </c>
      <c r="I13" s="9"/>
      <c r="J13" s="43">
        <v>316</v>
      </c>
      <c r="K13" s="19">
        <f>SUM(H13:I13:J13)</f>
        <v>916</v>
      </c>
      <c r="L13" s="19"/>
      <c r="M13" s="19"/>
      <c r="N13" s="19"/>
      <c r="O13" s="41">
        <f t="shared" si="0"/>
        <v>3261.32</v>
      </c>
      <c r="P13" s="19">
        <v>17.27</v>
      </c>
      <c r="Q13" s="19">
        <v>211.08</v>
      </c>
      <c r="R13" s="19"/>
      <c r="S13" s="19">
        <v>140.72</v>
      </c>
      <c r="T13" s="19">
        <f>SUM(P13:Q13:R13:S13)</f>
        <v>369.07000000000005</v>
      </c>
      <c r="U13" s="41">
        <f t="shared" si="1"/>
        <v>2892.25</v>
      </c>
    </row>
    <row r="14" spans="1:22" x14ac:dyDescent="0.25">
      <c r="A14" s="13" t="s">
        <v>27</v>
      </c>
      <c r="B14" s="14" t="s">
        <v>74</v>
      </c>
      <c r="C14" s="14" t="s">
        <v>99</v>
      </c>
      <c r="D14" s="19">
        <v>0</v>
      </c>
      <c r="E14" s="9">
        <v>9395.69</v>
      </c>
      <c r="F14" s="9"/>
      <c r="G14" s="9"/>
      <c r="H14" s="9">
        <v>30</v>
      </c>
      <c r="I14" s="9"/>
      <c r="J14" s="9">
        <v>8.1999999999999993</v>
      </c>
      <c r="K14" s="19">
        <f>SUM(H14:I14:J14)</f>
        <v>38.200000000000003</v>
      </c>
      <c r="L14" s="19">
        <v>3131.89</v>
      </c>
      <c r="M14" s="19"/>
      <c r="N14" s="19"/>
      <c r="O14" s="41">
        <f t="shared" si="0"/>
        <v>12565.78</v>
      </c>
      <c r="P14" s="19">
        <v>2418.73</v>
      </c>
      <c r="Q14" s="19">
        <v>570.88</v>
      </c>
      <c r="R14" s="19"/>
      <c r="S14" s="19"/>
      <c r="T14" s="19">
        <f>SUM(P14:Q14:R14:S14)</f>
        <v>2989.61</v>
      </c>
      <c r="U14" s="41">
        <f t="shared" si="1"/>
        <v>9576.17</v>
      </c>
    </row>
    <row r="15" spans="1:22" hidden="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600</v>
      </c>
      <c r="I15" s="9"/>
      <c r="J15" s="19">
        <v>260</v>
      </c>
      <c r="K15" s="28">
        <f>SUM(H15:I15:J15)</f>
        <v>860</v>
      </c>
      <c r="L15" s="9"/>
      <c r="M15" s="9"/>
      <c r="N15" s="9"/>
      <c r="O15" s="47">
        <f t="shared" si="0"/>
        <v>2168.92</v>
      </c>
      <c r="P15" s="9"/>
      <c r="Q15" s="9"/>
      <c r="R15" s="9"/>
      <c r="S15" s="9"/>
      <c r="T15" s="9">
        <f>SUM(P15:Q15:R15:S15)</f>
        <v>0</v>
      </c>
      <c r="U15" s="47">
        <f t="shared" si="1"/>
        <v>2168.92</v>
      </c>
    </row>
    <row r="16" spans="1:22" x14ac:dyDescent="0.25">
      <c r="A16" s="13" t="s">
        <v>117</v>
      </c>
      <c r="B16" s="15" t="s">
        <v>75</v>
      </c>
      <c r="C16" s="15" t="s">
        <v>95</v>
      </c>
      <c r="D16" s="19"/>
      <c r="E16" s="9"/>
      <c r="F16" s="9"/>
      <c r="G16" s="9"/>
      <c r="H16" s="9">
        <v>0</v>
      </c>
      <c r="I16" s="9"/>
      <c r="J16" s="9"/>
      <c r="K16" s="19">
        <f>SUM(H16:I16:J16)</f>
        <v>0</v>
      </c>
      <c r="L16" s="19"/>
      <c r="M16" s="19"/>
      <c r="N16" s="19">
        <v>5245.34</v>
      </c>
      <c r="O16" s="41">
        <f t="shared" si="0"/>
        <v>5245.34</v>
      </c>
      <c r="P16" s="19">
        <v>520.97</v>
      </c>
      <c r="Q16" s="19"/>
      <c r="R16" s="19"/>
      <c r="S16" s="19"/>
      <c r="T16" s="19">
        <f>SUM(P16:Q16:R16:S16)</f>
        <v>520.97</v>
      </c>
      <c r="U16" s="41">
        <f t="shared" si="1"/>
        <v>4724.37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/>
      <c r="F17" s="9"/>
      <c r="G17" s="9"/>
      <c r="H17" s="9">
        <v>600</v>
      </c>
      <c r="I17" s="9"/>
      <c r="J17" s="9">
        <v>316</v>
      </c>
      <c r="K17" s="19">
        <f>SUM(H17:I17:J17)</f>
        <v>916</v>
      </c>
      <c r="L17" s="19"/>
      <c r="M17" s="19"/>
      <c r="N17" s="19"/>
      <c r="O17" s="41">
        <f t="shared" si="0"/>
        <v>4433.9799999999996</v>
      </c>
      <c r="P17" s="19">
        <v>114.85</v>
      </c>
      <c r="Q17" s="19">
        <v>386.98</v>
      </c>
      <c r="R17" s="19">
        <v>35.18</v>
      </c>
      <c r="S17" s="19">
        <v>140.72</v>
      </c>
      <c r="T17" s="19">
        <f>SUM(P17:Q17:R17:S17)</f>
        <v>677.73</v>
      </c>
      <c r="U17" s="41">
        <f t="shared" si="1"/>
        <v>3756.2499999999995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8046.12</v>
      </c>
      <c r="E18" s="9"/>
      <c r="F18" s="9"/>
      <c r="G18" s="9"/>
      <c r="H18" s="9">
        <v>600</v>
      </c>
      <c r="I18" s="9"/>
      <c r="J18" s="9">
        <v>164</v>
      </c>
      <c r="K18" s="19">
        <f>SUM(H18:I18:J18)</f>
        <v>764</v>
      </c>
      <c r="L18" s="19"/>
      <c r="M18" s="19"/>
      <c r="N18" s="19"/>
      <c r="O18" s="41">
        <f t="shared" si="0"/>
        <v>8810.119999999999</v>
      </c>
      <c r="P18" s="19">
        <v>1186.33</v>
      </c>
      <c r="Q18" s="19">
        <v>570.88</v>
      </c>
      <c r="R18" s="19"/>
      <c r="S18" s="19">
        <v>164</v>
      </c>
      <c r="T18" s="19">
        <f>SUM(P18:Q18:R18:S18)</f>
        <v>1921.21</v>
      </c>
      <c r="U18" s="41">
        <f t="shared" si="1"/>
        <v>6888.9099999999989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600</v>
      </c>
      <c r="I19" s="9"/>
      <c r="J19" s="43"/>
      <c r="K19" s="19">
        <f>SUM(H19:I19:J19)</f>
        <v>600</v>
      </c>
      <c r="L19" s="19"/>
      <c r="M19" s="19"/>
      <c r="N19" s="19"/>
      <c r="O19" s="41">
        <f t="shared" si="0"/>
        <v>8646.119999999999</v>
      </c>
      <c r="P19" s="19">
        <v>1186.33</v>
      </c>
      <c r="Q19" s="19">
        <v>570.88</v>
      </c>
      <c r="R19" s="19"/>
      <c r="S19" s="19"/>
      <c r="T19" s="19">
        <f>SUM(P19:Q19:R19:S19)</f>
        <v>1757.21</v>
      </c>
      <c r="U19" s="41">
        <f t="shared" si="1"/>
        <v>6888.9099999999989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600</v>
      </c>
      <c r="I20" s="9"/>
      <c r="J20" s="9"/>
      <c r="K20" s="19">
        <f>SUM(H20:I20:J20)</f>
        <v>600</v>
      </c>
      <c r="L20" s="19"/>
      <c r="M20" s="19"/>
      <c r="N20" s="19">
        <v>701.98</v>
      </c>
      <c r="O20" s="41">
        <f t="shared" si="0"/>
        <v>13641.46</v>
      </c>
      <c r="P20" s="19">
        <v>2560.0500000000002</v>
      </c>
      <c r="Q20" s="19">
        <v>570.88</v>
      </c>
      <c r="R20" s="19"/>
      <c r="S20" s="19"/>
      <c r="T20" s="19">
        <f>SUM(P20:Q20:R20:S20)</f>
        <v>3130.9300000000003</v>
      </c>
      <c r="U20" s="41">
        <f t="shared" si="1"/>
        <v>10510.529999999999</v>
      </c>
    </row>
    <row r="21" spans="1:21" hidden="1" x14ac:dyDescent="0.25">
      <c r="A21" s="6" t="s">
        <v>131</v>
      </c>
      <c r="B21" s="7" t="s">
        <v>72</v>
      </c>
      <c r="C21" s="7" t="s">
        <v>98</v>
      </c>
      <c r="D21" s="19">
        <v>1308.92</v>
      </c>
      <c r="E21" s="9"/>
      <c r="F21" s="9"/>
      <c r="G21" s="9"/>
      <c r="H21" s="9">
        <v>600</v>
      </c>
      <c r="I21" s="9"/>
      <c r="J21" s="9">
        <v>260</v>
      </c>
      <c r="K21" s="28">
        <f>SUM(H21:I21:J21)</f>
        <v>860</v>
      </c>
      <c r="L21" s="9"/>
      <c r="M21" s="9"/>
      <c r="N21" s="9"/>
      <c r="O21" s="47">
        <f t="shared" si="0"/>
        <v>2168.92</v>
      </c>
      <c r="P21" s="9"/>
      <c r="Q21" s="9"/>
      <c r="R21" s="9"/>
      <c r="S21" s="9"/>
      <c r="T21" s="9">
        <f>SUM(P21:Q21:R21:S21)</f>
        <v>0</v>
      </c>
      <c r="U21" s="47">
        <f t="shared" si="1"/>
        <v>2168.92</v>
      </c>
    </row>
    <row r="22" spans="1:21" hidden="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600</v>
      </c>
      <c r="I22" s="9"/>
      <c r="J22" s="9">
        <v>164</v>
      </c>
      <c r="K22" s="28">
        <f>SUM(H22:I22:J22)</f>
        <v>764</v>
      </c>
      <c r="L22" s="9"/>
      <c r="M22" s="9"/>
      <c r="N22" s="9"/>
      <c r="O22" s="47">
        <f t="shared" si="0"/>
        <v>2072.92</v>
      </c>
      <c r="P22" s="9"/>
      <c r="Q22" s="9"/>
      <c r="R22" s="9"/>
      <c r="S22" s="9"/>
      <c r="T22" s="9">
        <f>SUM(P22:Q22:R22:S22)</f>
        <v>0</v>
      </c>
      <c r="U22" s="47">
        <f t="shared" si="1"/>
        <v>2072.92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12339.48</v>
      </c>
      <c r="E23" s="9"/>
      <c r="F23" s="9"/>
      <c r="G23" s="9"/>
      <c r="H23" s="9">
        <v>600</v>
      </c>
      <c r="I23" s="9"/>
      <c r="J23" s="43">
        <v>260</v>
      </c>
      <c r="K23" s="19">
        <f>SUM(H23:I23:J23)</f>
        <v>860</v>
      </c>
      <c r="L23" s="19"/>
      <c r="M23" s="19"/>
      <c r="N23" s="19"/>
      <c r="O23" s="41">
        <f t="shared" si="0"/>
        <v>13199.48</v>
      </c>
      <c r="P23" s="19">
        <v>2367.0100000000002</v>
      </c>
      <c r="Q23" s="19">
        <v>570.88</v>
      </c>
      <c r="R23" s="19"/>
      <c r="S23" s="19">
        <v>260</v>
      </c>
      <c r="T23" s="19">
        <f>SUM(P23:Q23:R23:S23)</f>
        <v>3197.8900000000003</v>
      </c>
      <c r="U23" s="41">
        <f t="shared" si="1"/>
        <v>10001.59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/>
      <c r="H24" s="9">
        <v>600</v>
      </c>
      <c r="I24" s="9"/>
      <c r="J24" s="9"/>
      <c r="K24" s="19">
        <f>SUM(H24:I24:J24)</f>
        <v>600</v>
      </c>
      <c r="L24" s="19"/>
      <c r="M24" s="19"/>
      <c r="N24" s="19"/>
      <c r="O24" s="41">
        <f t="shared" si="0"/>
        <v>4117.9799999999996</v>
      </c>
      <c r="P24" s="19">
        <v>105.69</v>
      </c>
      <c r="Q24" s="19">
        <v>379.43</v>
      </c>
      <c r="R24" s="19">
        <v>68.599999999999994</v>
      </c>
      <c r="S24" s="19"/>
      <c r="T24" s="19">
        <f>SUM(P24:Q24:R24:S24)</f>
        <v>553.72</v>
      </c>
      <c r="U24" s="41">
        <f t="shared" si="1"/>
        <v>3564.2599999999993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3517.98</v>
      </c>
      <c r="E25" s="9"/>
      <c r="F25" s="9"/>
      <c r="G25" s="9"/>
      <c r="H25" s="9">
        <v>600</v>
      </c>
      <c r="I25" s="9"/>
      <c r="J25" s="9"/>
      <c r="K25" s="19">
        <f>SUM(H25:I25:J25)</f>
        <v>600</v>
      </c>
      <c r="L25" s="19"/>
      <c r="M25" s="19"/>
      <c r="N25" s="19"/>
      <c r="O25" s="41">
        <f t="shared" si="0"/>
        <v>4117.9799999999996</v>
      </c>
      <c r="P25" s="19">
        <v>109.57</v>
      </c>
      <c r="Q25" s="19">
        <v>382.62</v>
      </c>
      <c r="R25" s="19">
        <v>39.58</v>
      </c>
      <c r="S25" s="19"/>
      <c r="T25" s="19">
        <f>SUM(P25:Q25:R25:S25)</f>
        <v>531.77</v>
      </c>
      <c r="U25" s="41">
        <f t="shared" si="1"/>
        <v>3586.2099999999996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>
        <v>176</v>
      </c>
      <c r="H26" s="9">
        <v>600</v>
      </c>
      <c r="I26" s="9"/>
      <c r="J26" s="43"/>
      <c r="K26" s="19">
        <f>SUM(H26:I26:J26)</f>
        <v>600</v>
      </c>
      <c r="L26" s="19"/>
      <c r="M26" s="19"/>
      <c r="N26" s="19"/>
      <c r="O26" s="41">
        <f t="shared" si="0"/>
        <v>8822.119999999999</v>
      </c>
      <c r="P26" s="19">
        <v>1234.73</v>
      </c>
      <c r="Q26" s="19">
        <v>570.88</v>
      </c>
      <c r="R26" s="19"/>
      <c r="S26" s="19"/>
      <c r="T26" s="19">
        <f>SUM(P26:Q26:R26:S26)</f>
        <v>1805.6100000000001</v>
      </c>
      <c r="U26" s="41">
        <f t="shared" si="1"/>
        <v>7016.5099999999984</v>
      </c>
    </row>
    <row r="27" spans="1:21" hidden="1" x14ac:dyDescent="0.25">
      <c r="A27" s="6" t="s">
        <v>133</v>
      </c>
      <c r="B27" s="17" t="s">
        <v>72</v>
      </c>
      <c r="C27" s="7" t="s">
        <v>106</v>
      </c>
      <c r="D27" s="19">
        <v>392.68</v>
      </c>
      <c r="E27" s="9"/>
      <c r="F27" s="9"/>
      <c r="G27" s="9"/>
      <c r="H27" s="9">
        <v>0</v>
      </c>
      <c r="I27" s="9"/>
      <c r="J27" s="9"/>
      <c r="K27" s="28">
        <f>SUM(H27:I27:J27)</f>
        <v>0</v>
      </c>
      <c r="L27" s="9"/>
      <c r="M27" s="9"/>
      <c r="N27" s="9"/>
      <c r="O27" s="47">
        <f t="shared" si="0"/>
        <v>392.68</v>
      </c>
      <c r="P27" s="9"/>
      <c r="Q27" s="9"/>
      <c r="R27" s="9"/>
      <c r="S27" s="9"/>
      <c r="T27" s="9">
        <f>SUM(P27:Q27:R27:S27)</f>
        <v>0</v>
      </c>
      <c r="U27" s="47">
        <f t="shared" si="1"/>
        <v>392.68</v>
      </c>
    </row>
    <row r="28" spans="1:21" x14ac:dyDescent="0.25">
      <c r="A28" s="6" t="s">
        <v>38</v>
      </c>
      <c r="B28" s="17" t="s">
        <v>81</v>
      </c>
      <c r="C28" s="7" t="s">
        <v>98</v>
      </c>
      <c r="D28" s="19">
        <v>4754.09</v>
      </c>
      <c r="E28" s="9">
        <v>2037.46</v>
      </c>
      <c r="F28" s="9"/>
      <c r="G28" s="9"/>
      <c r="H28" s="9">
        <v>600</v>
      </c>
      <c r="I28" s="9"/>
      <c r="J28" s="9">
        <v>164</v>
      </c>
      <c r="K28" s="19">
        <f>SUM(H28:I28:J28)</f>
        <v>764</v>
      </c>
      <c r="L28" s="19">
        <v>679.15</v>
      </c>
      <c r="M28" s="19"/>
      <c r="N28" s="19"/>
      <c r="O28" s="41">
        <f t="shared" si="0"/>
        <v>8234.7000000000007</v>
      </c>
      <c r="P28" s="19">
        <v>370.67</v>
      </c>
      <c r="Q28" s="19">
        <v>272.05</v>
      </c>
      <c r="R28" s="19">
        <v>7.36</v>
      </c>
      <c r="S28" s="19">
        <v>336.2</v>
      </c>
      <c r="T28" s="19">
        <f>SUM(P28:Q28:R28:S28)</f>
        <v>986.28</v>
      </c>
      <c r="U28" s="41">
        <f t="shared" si="1"/>
        <v>7248.420000000001</v>
      </c>
    </row>
    <row r="29" spans="1:21" x14ac:dyDescent="0.25">
      <c r="A29" s="13" t="s">
        <v>40</v>
      </c>
      <c r="B29" s="15" t="s">
        <v>69</v>
      </c>
      <c r="C29" s="7" t="s">
        <v>100</v>
      </c>
      <c r="D29" s="19">
        <v>3517.98</v>
      </c>
      <c r="E29" s="9"/>
      <c r="F29" s="9"/>
      <c r="G29" s="9"/>
      <c r="H29" s="9">
        <v>600</v>
      </c>
      <c r="I29" s="9"/>
      <c r="J29" s="9">
        <v>260</v>
      </c>
      <c r="K29" s="19">
        <f>SUM(H29:I29:J29)</f>
        <v>860</v>
      </c>
      <c r="L29" s="19"/>
      <c r="M29" s="19"/>
      <c r="N29" s="19">
        <v>1087.83</v>
      </c>
      <c r="O29" s="41">
        <f t="shared" si="0"/>
        <v>5465.8099999999995</v>
      </c>
      <c r="P29" s="19">
        <v>286.18</v>
      </c>
      <c r="Q29" s="19">
        <v>506.64</v>
      </c>
      <c r="R29" s="19"/>
      <c r="S29" s="19">
        <v>140.72</v>
      </c>
      <c r="T29" s="19">
        <f>SUM(P29:Q29:R29:S29)</f>
        <v>933.54</v>
      </c>
      <c r="U29" s="41">
        <f t="shared" si="1"/>
        <v>4532.2699999999995</v>
      </c>
    </row>
    <row r="30" spans="1:21" x14ac:dyDescent="0.25">
      <c r="A30" s="6" t="s">
        <v>41</v>
      </c>
      <c r="B30" s="7" t="s">
        <v>77</v>
      </c>
      <c r="C30" s="7" t="s">
        <v>96</v>
      </c>
      <c r="D30" s="19">
        <v>8046.12</v>
      </c>
      <c r="E30" s="9"/>
      <c r="F30" s="9"/>
      <c r="G30" s="9">
        <v>93.87</v>
      </c>
      <c r="H30" s="9">
        <v>600</v>
      </c>
      <c r="I30" s="9"/>
      <c r="J30" s="43"/>
      <c r="K30" s="19">
        <f>SUM(H30:I30:J30)</f>
        <v>600</v>
      </c>
      <c r="L30" s="19"/>
      <c r="M30" s="19"/>
      <c r="N30" s="19"/>
      <c r="O30" s="41">
        <f t="shared" si="0"/>
        <v>8739.99</v>
      </c>
      <c r="P30" s="19">
        <v>1212.1500000000001</v>
      </c>
      <c r="Q30" s="19">
        <v>570.88</v>
      </c>
      <c r="R30" s="19"/>
      <c r="S30" s="19"/>
      <c r="T30" s="19">
        <f>SUM(P30:Q30:R30:S30)</f>
        <v>1783.0300000000002</v>
      </c>
      <c r="U30" s="41">
        <f t="shared" si="1"/>
        <v>6956.9599999999991</v>
      </c>
    </row>
    <row r="31" spans="1:21" x14ac:dyDescent="0.25">
      <c r="A31" s="6" t="s">
        <v>42</v>
      </c>
      <c r="B31" s="7" t="s">
        <v>69</v>
      </c>
      <c r="C31" s="7" t="s">
        <v>100</v>
      </c>
      <c r="D31" s="19">
        <v>2462.59</v>
      </c>
      <c r="E31" s="9">
        <v>1055.4000000000001</v>
      </c>
      <c r="F31" s="9"/>
      <c r="G31" s="9">
        <v>85.17</v>
      </c>
      <c r="H31" s="9">
        <v>390</v>
      </c>
      <c r="I31" s="9">
        <v>250</v>
      </c>
      <c r="J31" s="9">
        <v>169</v>
      </c>
      <c r="K31" s="19">
        <f>SUM(H31:I31:J31)</f>
        <v>809</v>
      </c>
      <c r="L31" s="19">
        <v>351.8</v>
      </c>
      <c r="M31" s="19"/>
      <c r="N31" s="19"/>
      <c r="O31" s="41">
        <f t="shared" si="0"/>
        <v>4763.96</v>
      </c>
      <c r="P31" s="19">
        <v>24.1</v>
      </c>
      <c r="Q31" s="19">
        <v>435.05</v>
      </c>
      <c r="R31" s="19"/>
      <c r="S31" s="19">
        <v>91.47</v>
      </c>
      <c r="T31" s="19">
        <f>SUM(P31:Q31:R31:S31)</f>
        <v>550.62</v>
      </c>
      <c r="U31" s="41">
        <f t="shared" si="1"/>
        <v>4213.34</v>
      </c>
    </row>
    <row r="32" spans="1:21" x14ac:dyDescent="0.25">
      <c r="A32" s="6" t="s">
        <v>43</v>
      </c>
      <c r="B32" s="7" t="s">
        <v>76</v>
      </c>
      <c r="C32" s="7" t="s">
        <v>97</v>
      </c>
      <c r="D32" s="19">
        <v>8046.12</v>
      </c>
      <c r="E32" s="12"/>
      <c r="F32" s="9"/>
      <c r="G32" s="9">
        <v>58.67</v>
      </c>
      <c r="H32" s="9">
        <v>600</v>
      </c>
      <c r="I32" s="9"/>
      <c r="J32" s="9">
        <v>164</v>
      </c>
      <c r="K32" s="19">
        <f>SUM(H32:I32:J32)</f>
        <v>764</v>
      </c>
      <c r="L32" s="19"/>
      <c r="M32" s="19"/>
      <c r="N32" s="19"/>
      <c r="O32" s="41">
        <f t="shared" si="0"/>
        <v>8868.7900000000009</v>
      </c>
      <c r="P32" s="19">
        <v>1178.49</v>
      </c>
      <c r="Q32" s="19">
        <v>570.88</v>
      </c>
      <c r="R32" s="19">
        <v>87.17</v>
      </c>
      <c r="S32" s="19">
        <v>164</v>
      </c>
      <c r="T32" s="19">
        <f>SUM(P32:Q32:R32:S32)</f>
        <v>2000.54</v>
      </c>
      <c r="U32" s="41">
        <f t="shared" si="1"/>
        <v>6868.2500000000009</v>
      </c>
    </row>
    <row r="33" spans="1:21" x14ac:dyDescent="0.25">
      <c r="A33" s="7" t="s">
        <v>44</v>
      </c>
      <c r="B33" s="7" t="s">
        <v>69</v>
      </c>
      <c r="C33" s="7" t="s">
        <v>100</v>
      </c>
      <c r="D33" s="19">
        <v>3517.98</v>
      </c>
      <c r="E33" s="9"/>
      <c r="F33" s="9"/>
      <c r="G33" s="9">
        <v>42.58</v>
      </c>
      <c r="H33" s="9">
        <v>600</v>
      </c>
      <c r="I33" s="9"/>
      <c r="J33" s="9">
        <v>418</v>
      </c>
      <c r="K33" s="19">
        <f>SUM(H33:I33:J33)</f>
        <v>1018</v>
      </c>
      <c r="L33" s="19"/>
      <c r="M33" s="19"/>
      <c r="N33" s="19"/>
      <c r="O33" s="41">
        <f t="shared" si="0"/>
        <v>4578.5599999999995</v>
      </c>
      <c r="P33" s="19">
        <v>104.88</v>
      </c>
      <c r="Q33" s="19">
        <v>378.76</v>
      </c>
      <c r="R33" s="19">
        <v>117.27</v>
      </c>
      <c r="S33" s="19">
        <v>140.72</v>
      </c>
      <c r="T33" s="19">
        <f>SUM(P33:Q33:R33:S33)</f>
        <v>741.63</v>
      </c>
      <c r="U33" s="41">
        <f t="shared" si="1"/>
        <v>3836.9299999999994</v>
      </c>
    </row>
    <row r="34" spans="1:21" x14ac:dyDescent="0.25">
      <c r="A34" s="7" t="s">
        <v>45</v>
      </c>
      <c r="B34" s="7" t="s">
        <v>82</v>
      </c>
      <c r="C34" s="7" t="s">
        <v>97</v>
      </c>
      <c r="D34" s="19">
        <v>12339.48</v>
      </c>
      <c r="E34" s="9"/>
      <c r="F34" s="9"/>
      <c r="G34" s="9"/>
      <c r="H34" s="9">
        <v>600</v>
      </c>
      <c r="I34" s="9">
        <v>500</v>
      </c>
      <c r="J34" s="9">
        <v>1062.4000000000001</v>
      </c>
      <c r="K34" s="19">
        <f>SUM(H34:I34:J34)</f>
        <v>2162.4</v>
      </c>
      <c r="L34" s="19"/>
      <c r="M34" s="19"/>
      <c r="N34" s="19"/>
      <c r="O34" s="41">
        <f t="shared" si="0"/>
        <v>14501.88</v>
      </c>
      <c r="P34" s="19">
        <v>2367.0100000000002</v>
      </c>
      <c r="Q34" s="19">
        <v>570.88</v>
      </c>
      <c r="R34" s="19"/>
      <c r="S34" s="19">
        <v>493.58</v>
      </c>
      <c r="T34" s="19">
        <f>SUM(P34:Q34:R34:S34)</f>
        <v>3431.4700000000003</v>
      </c>
      <c r="U34" s="41">
        <f t="shared" si="1"/>
        <v>11070.41</v>
      </c>
    </row>
    <row r="35" spans="1:21" x14ac:dyDescent="0.25">
      <c r="A35" s="7" t="s">
        <v>46</v>
      </c>
      <c r="B35" s="7" t="s">
        <v>83</v>
      </c>
      <c r="C35" s="7" t="s">
        <v>94</v>
      </c>
      <c r="D35" s="19">
        <v>3517.98</v>
      </c>
      <c r="E35" s="9"/>
      <c r="F35" s="9"/>
      <c r="G35" s="9">
        <v>41.56</v>
      </c>
      <c r="H35" s="9">
        <v>600</v>
      </c>
      <c r="I35" s="9"/>
      <c r="J35" s="9">
        <v>260</v>
      </c>
      <c r="K35" s="19">
        <f>SUM(H35:I35:J35)</f>
        <v>860</v>
      </c>
      <c r="L35" s="19"/>
      <c r="M35" s="19"/>
      <c r="N35" s="19"/>
      <c r="O35" s="41">
        <f t="shared" si="0"/>
        <v>4419.54</v>
      </c>
      <c r="P35" s="19">
        <v>119.97</v>
      </c>
      <c r="Q35" s="19">
        <v>391.2</v>
      </c>
      <c r="R35" s="19">
        <v>3.22</v>
      </c>
      <c r="S35" s="19">
        <v>140.72</v>
      </c>
      <c r="T35" s="19">
        <f>SUM(P35:Q35:R35:S35)</f>
        <v>655.11</v>
      </c>
      <c r="U35" s="41">
        <f t="shared" si="1"/>
        <v>3764.43</v>
      </c>
    </row>
    <row r="36" spans="1:21" x14ac:dyDescent="0.25">
      <c r="A36" s="7" t="s">
        <v>47</v>
      </c>
      <c r="B36" s="7" t="s">
        <v>84</v>
      </c>
      <c r="C36" s="7" t="s">
        <v>95</v>
      </c>
      <c r="D36" s="19">
        <v>12339.48</v>
      </c>
      <c r="E36" s="9"/>
      <c r="F36" s="9"/>
      <c r="G36" s="9"/>
      <c r="H36" s="9">
        <v>600</v>
      </c>
      <c r="I36" s="9"/>
      <c r="J36" s="9">
        <v>152</v>
      </c>
      <c r="K36" s="19">
        <f>SUM(H36:I36:J36)</f>
        <v>752</v>
      </c>
      <c r="L36" s="19"/>
      <c r="M36" s="19"/>
      <c r="N36" s="19"/>
      <c r="O36" s="41">
        <f t="shared" si="0"/>
        <v>13091.48</v>
      </c>
      <c r="P36" s="19">
        <v>2367.0100000000002</v>
      </c>
      <c r="Q36" s="19">
        <v>570.88</v>
      </c>
      <c r="R36" s="19"/>
      <c r="S36" s="19">
        <v>152</v>
      </c>
      <c r="T36" s="19">
        <f>SUM(P36:Q36:R36:S36)</f>
        <v>3089.8900000000003</v>
      </c>
      <c r="U36" s="41">
        <f t="shared" si="1"/>
        <v>10001.59</v>
      </c>
    </row>
    <row r="37" spans="1:21" hidden="1" x14ac:dyDescent="0.25">
      <c r="A37" s="7" t="s">
        <v>119</v>
      </c>
      <c r="B37" s="7" t="s">
        <v>72</v>
      </c>
      <c r="C37" s="7" t="s">
        <v>102</v>
      </c>
      <c r="D37" s="19">
        <v>1308.92</v>
      </c>
      <c r="E37" s="9"/>
      <c r="F37" s="9"/>
      <c r="G37" s="9"/>
      <c r="H37" s="9">
        <v>600</v>
      </c>
      <c r="I37" s="9"/>
      <c r="J37" s="19">
        <v>152</v>
      </c>
      <c r="K37" s="28">
        <f>SUM(H37:I37:J37)</f>
        <v>752</v>
      </c>
      <c r="L37" s="9"/>
      <c r="M37" s="9"/>
      <c r="N37" s="9"/>
      <c r="O37" s="47">
        <f t="shared" ref="O37:O57" si="2">SUM(D37+E37+F37+G37+K37+L37+M37+N37)</f>
        <v>2060.92</v>
      </c>
      <c r="P37" s="9"/>
      <c r="Q37" s="9"/>
      <c r="R37" s="9"/>
      <c r="S37" s="9"/>
      <c r="T37" s="9">
        <f>SUM(P37:Q37:R37:S37)</f>
        <v>0</v>
      </c>
      <c r="U37" s="47">
        <f t="shared" ref="U37:U57" si="3">SUM(O37-T37)</f>
        <v>2060.92</v>
      </c>
    </row>
    <row r="38" spans="1:21" x14ac:dyDescent="0.25">
      <c r="A38" s="7" t="s">
        <v>48</v>
      </c>
      <c r="B38" s="7" t="s">
        <v>85</v>
      </c>
      <c r="C38" s="7" t="s">
        <v>102</v>
      </c>
      <c r="D38" s="19">
        <v>9395.69</v>
      </c>
      <c r="E38" s="9"/>
      <c r="F38" s="9"/>
      <c r="G38" s="9"/>
      <c r="H38" s="9">
        <v>600</v>
      </c>
      <c r="I38" s="9"/>
      <c r="J38" s="9"/>
      <c r="K38" s="19">
        <f>SUM(H38:I38:J38)</f>
        <v>600</v>
      </c>
      <c r="L38" s="19"/>
      <c r="M38" s="19"/>
      <c r="N38" s="19"/>
      <c r="O38" s="41">
        <f t="shared" si="2"/>
        <v>9995.69</v>
      </c>
      <c r="P38" s="19">
        <v>1557.46</v>
      </c>
      <c r="Q38" s="19">
        <v>570.88</v>
      </c>
      <c r="R38" s="19"/>
      <c r="S38" s="19"/>
      <c r="T38" s="19">
        <f>SUM(P38:Q38:R38:S38)</f>
        <v>2128.34</v>
      </c>
      <c r="U38" s="41">
        <f t="shared" si="3"/>
        <v>7867.35</v>
      </c>
    </row>
    <row r="39" spans="1:21" x14ac:dyDescent="0.25">
      <c r="A39" s="7" t="s">
        <v>49</v>
      </c>
      <c r="B39" s="7" t="s">
        <v>86</v>
      </c>
      <c r="C39" s="7" t="s">
        <v>102</v>
      </c>
      <c r="D39" s="19">
        <v>6791.55</v>
      </c>
      <c r="E39" s="9"/>
      <c r="F39" s="9"/>
      <c r="G39" s="9">
        <v>207</v>
      </c>
      <c r="H39" s="9">
        <v>600</v>
      </c>
      <c r="I39" s="9"/>
      <c r="J39" s="9">
        <v>164</v>
      </c>
      <c r="K39" s="19">
        <f>SUM(H39:I39:J39)</f>
        <v>764</v>
      </c>
      <c r="L39" s="19"/>
      <c r="M39" s="19"/>
      <c r="N39" s="19"/>
      <c r="O39" s="41">
        <f t="shared" si="2"/>
        <v>7762.55</v>
      </c>
      <c r="P39" s="19">
        <v>898.25</v>
      </c>
      <c r="Q39" s="19">
        <v>570.88</v>
      </c>
      <c r="R39" s="19"/>
      <c r="S39" s="19">
        <v>164</v>
      </c>
      <c r="T39" s="19">
        <f>SUM(P39:Q39:R39:S39)</f>
        <v>1633.13</v>
      </c>
      <c r="U39" s="41">
        <f t="shared" si="3"/>
        <v>6129.42</v>
      </c>
    </row>
    <row r="40" spans="1:21" x14ac:dyDescent="0.25">
      <c r="A40" s="7" t="s">
        <v>50</v>
      </c>
      <c r="B40" s="7" t="s">
        <v>80</v>
      </c>
      <c r="C40" s="7" t="s">
        <v>101</v>
      </c>
      <c r="D40" s="19">
        <v>3517.98</v>
      </c>
      <c r="E40" s="9"/>
      <c r="F40" s="9"/>
      <c r="G40" s="9">
        <v>41.56</v>
      </c>
      <c r="H40" s="9">
        <v>600</v>
      </c>
      <c r="I40" s="9"/>
      <c r="J40" s="9">
        <v>202</v>
      </c>
      <c r="K40" s="19">
        <f>SUM(H40:I40:J40)</f>
        <v>802</v>
      </c>
      <c r="L40" s="19"/>
      <c r="M40" s="19"/>
      <c r="N40" s="19"/>
      <c r="O40" s="41">
        <f t="shared" si="2"/>
        <v>4361.54</v>
      </c>
      <c r="P40" s="19">
        <v>120.4</v>
      </c>
      <c r="Q40" s="19">
        <v>391.55</v>
      </c>
      <c r="R40" s="19"/>
      <c r="S40" s="19">
        <v>140.72</v>
      </c>
      <c r="T40" s="19">
        <f>SUM(P40:Q40:R40:S40)</f>
        <v>652.67000000000007</v>
      </c>
      <c r="U40" s="41">
        <f t="shared" si="3"/>
        <v>3708.87</v>
      </c>
    </row>
    <row r="41" spans="1:21" x14ac:dyDescent="0.25">
      <c r="A41" s="6" t="s">
        <v>51</v>
      </c>
      <c r="B41" s="7" t="s">
        <v>68</v>
      </c>
      <c r="C41" s="7" t="s">
        <v>92</v>
      </c>
      <c r="D41" s="19">
        <v>3517.98</v>
      </c>
      <c r="E41" s="9"/>
      <c r="F41" s="9"/>
      <c r="G41" s="9">
        <v>103.12</v>
      </c>
      <c r="H41" s="9">
        <v>600</v>
      </c>
      <c r="I41" s="9"/>
      <c r="J41" s="9">
        <v>260</v>
      </c>
      <c r="K41" s="19">
        <f>SUM(H41:I41:J41)</f>
        <v>860</v>
      </c>
      <c r="L41" s="12"/>
      <c r="M41" s="19"/>
      <c r="N41" s="19"/>
      <c r="O41" s="41">
        <f t="shared" si="2"/>
        <v>4481.1000000000004</v>
      </c>
      <c r="P41" s="19">
        <v>122.94</v>
      </c>
      <c r="Q41" s="19">
        <v>393.64</v>
      </c>
      <c r="R41" s="19">
        <v>77.69</v>
      </c>
      <c r="S41" s="19">
        <v>140.72</v>
      </c>
      <c r="T41" s="19">
        <f>SUM(P41:Q41:R41:S41)</f>
        <v>734.99</v>
      </c>
      <c r="U41" s="41">
        <f t="shared" si="3"/>
        <v>3746.1100000000006</v>
      </c>
    </row>
    <row r="42" spans="1:21" x14ac:dyDescent="0.25">
      <c r="A42" s="7" t="s">
        <v>53</v>
      </c>
      <c r="B42" s="7" t="s">
        <v>68</v>
      </c>
      <c r="C42" s="7" t="s">
        <v>92</v>
      </c>
      <c r="D42" s="19">
        <v>1876.26</v>
      </c>
      <c r="E42" s="9">
        <v>1641.72</v>
      </c>
      <c r="F42" s="9"/>
      <c r="G42" s="9">
        <v>109.28</v>
      </c>
      <c r="H42" s="9">
        <v>330</v>
      </c>
      <c r="I42" s="9"/>
      <c r="J42" s="9">
        <v>114.8</v>
      </c>
      <c r="K42" s="19">
        <f>SUM(H42:I42:J42)</f>
        <v>444.8</v>
      </c>
      <c r="L42" s="19">
        <v>547.24</v>
      </c>
      <c r="M42" s="19"/>
      <c r="N42" s="19"/>
      <c r="O42" s="41">
        <f t="shared" si="2"/>
        <v>4619.3</v>
      </c>
      <c r="P42" s="19"/>
      <c r="Q42" s="19">
        <v>459.2</v>
      </c>
      <c r="R42" s="19">
        <v>18.760000000000002</v>
      </c>
      <c r="S42" s="19">
        <v>77.400000000000006</v>
      </c>
      <c r="T42" s="19">
        <f>SUM(P42:Q42:R42:S42)</f>
        <v>555.36</v>
      </c>
      <c r="U42" s="41">
        <f t="shared" si="3"/>
        <v>4063.94</v>
      </c>
    </row>
    <row r="43" spans="1:21" x14ac:dyDescent="0.25">
      <c r="A43" s="7" t="s">
        <v>54</v>
      </c>
      <c r="B43" s="7" t="s">
        <v>76</v>
      </c>
      <c r="C43" s="7" t="s">
        <v>97</v>
      </c>
      <c r="D43" s="19">
        <v>8046.12</v>
      </c>
      <c r="E43" s="9"/>
      <c r="F43" s="9"/>
      <c r="G43" s="9">
        <v>185.4</v>
      </c>
      <c r="H43" s="9">
        <v>600</v>
      </c>
      <c r="I43" s="9">
        <v>250</v>
      </c>
      <c r="J43" s="19"/>
      <c r="K43" s="19">
        <f>SUM(H43:I43:J43)</f>
        <v>850</v>
      </c>
      <c r="L43" s="19"/>
      <c r="M43" s="19"/>
      <c r="N43" s="19"/>
      <c r="O43" s="41">
        <f t="shared" si="2"/>
        <v>9081.52</v>
      </c>
      <c r="P43" s="19">
        <v>1161.21</v>
      </c>
      <c r="Q43" s="19">
        <v>570.88</v>
      </c>
      <c r="R43" s="19">
        <v>87.17</v>
      </c>
      <c r="S43" s="19"/>
      <c r="T43" s="19">
        <f>SUM(P43:Q43:R43:S43)</f>
        <v>1819.2600000000002</v>
      </c>
      <c r="U43" s="41">
        <f t="shared" si="3"/>
        <v>7262.26</v>
      </c>
    </row>
    <row r="44" spans="1:21" x14ac:dyDescent="0.25">
      <c r="A44" s="6" t="s">
        <v>55</v>
      </c>
      <c r="B44" s="7" t="s">
        <v>76</v>
      </c>
      <c r="C44" s="7" t="s">
        <v>97</v>
      </c>
      <c r="D44" s="19">
        <v>8046.12</v>
      </c>
      <c r="E44" s="9"/>
      <c r="F44" s="9"/>
      <c r="G44" s="9"/>
      <c r="H44" s="9">
        <v>600</v>
      </c>
      <c r="I44" s="9"/>
      <c r="J44" s="9"/>
      <c r="K44" s="19">
        <f>SUM(H44:I44:J44)</f>
        <v>600</v>
      </c>
      <c r="L44" s="19"/>
      <c r="M44" s="19"/>
      <c r="N44" s="19"/>
      <c r="O44" s="41">
        <f t="shared" si="2"/>
        <v>8646.119999999999</v>
      </c>
      <c r="P44" s="19">
        <v>1186.33</v>
      </c>
      <c r="Q44" s="19">
        <v>570.88</v>
      </c>
      <c r="R44" s="19"/>
      <c r="S44" s="19"/>
      <c r="T44" s="19">
        <f>SUM(P44:Q44:R44:S44)</f>
        <v>1757.21</v>
      </c>
      <c r="U44" s="41">
        <f t="shared" si="3"/>
        <v>6888.9099999999989</v>
      </c>
    </row>
    <row r="45" spans="1:21" hidden="1" x14ac:dyDescent="0.25">
      <c r="A45" s="6" t="s">
        <v>56</v>
      </c>
      <c r="B45" s="7" t="s">
        <v>72</v>
      </c>
      <c r="C45" s="7" t="s">
        <v>94</v>
      </c>
      <c r="D45" s="19">
        <v>1308.92</v>
      </c>
      <c r="E45" s="9"/>
      <c r="F45" s="9"/>
      <c r="G45" s="9"/>
      <c r="H45" s="9">
        <v>600</v>
      </c>
      <c r="I45" s="9"/>
      <c r="J45" s="9">
        <v>260</v>
      </c>
      <c r="K45" s="28">
        <f>SUM(H45:I45:J45)</f>
        <v>860</v>
      </c>
      <c r="L45" s="9"/>
      <c r="M45" s="9"/>
      <c r="N45" s="9"/>
      <c r="O45" s="47">
        <f t="shared" si="2"/>
        <v>2168.92</v>
      </c>
      <c r="P45" s="9"/>
      <c r="Q45" s="9"/>
      <c r="R45" s="9"/>
      <c r="S45" s="9"/>
      <c r="T45" s="9">
        <f>SUM(P45:Q45:R45:S45)</f>
        <v>0</v>
      </c>
      <c r="U45" s="47">
        <f t="shared" si="3"/>
        <v>2168.92</v>
      </c>
    </row>
    <row r="46" spans="1:21" x14ac:dyDescent="0.25">
      <c r="A46" s="6" t="s">
        <v>57</v>
      </c>
      <c r="B46" s="7" t="s">
        <v>76</v>
      </c>
      <c r="C46" s="7" t="s">
        <v>96</v>
      </c>
      <c r="D46" s="19">
        <v>5632.28</v>
      </c>
      <c r="E46" s="9">
        <v>2413.84</v>
      </c>
      <c r="F46" s="9"/>
      <c r="G46" s="9"/>
      <c r="H46" s="9">
        <v>600</v>
      </c>
      <c r="I46" s="9"/>
      <c r="J46" s="43"/>
      <c r="K46" s="19">
        <f>SUM(H46:I46:J46)</f>
        <v>600</v>
      </c>
      <c r="L46" s="19">
        <v>812.16</v>
      </c>
      <c r="M46" s="19"/>
      <c r="N46" s="19"/>
      <c r="O46" s="41">
        <f t="shared" si="2"/>
        <v>9458.2799999999988</v>
      </c>
      <c r="P46" s="19">
        <v>1381.21</v>
      </c>
      <c r="Q46" s="19">
        <v>213.53</v>
      </c>
      <c r="R46" s="19"/>
      <c r="S46" s="19"/>
      <c r="T46" s="19">
        <f>SUM(P46:Q46:R46:S46)</f>
        <v>1594.74</v>
      </c>
      <c r="U46" s="41">
        <f t="shared" si="3"/>
        <v>7863.5399999999991</v>
      </c>
    </row>
    <row r="47" spans="1:21" x14ac:dyDescent="0.25">
      <c r="A47" s="6" t="s">
        <v>58</v>
      </c>
      <c r="B47" s="7" t="s">
        <v>68</v>
      </c>
      <c r="C47" s="7" t="s">
        <v>92</v>
      </c>
      <c r="D47" s="19">
        <v>3517.98</v>
      </c>
      <c r="E47" s="9"/>
      <c r="F47" s="9"/>
      <c r="G47" s="9">
        <v>59</v>
      </c>
      <c r="H47" s="9">
        <v>600</v>
      </c>
      <c r="I47" s="9"/>
      <c r="J47" s="9">
        <v>260</v>
      </c>
      <c r="K47" s="19">
        <f>SUM(H47:I47:J47)</f>
        <v>860</v>
      </c>
      <c r="L47" s="19"/>
      <c r="M47" s="19"/>
      <c r="N47" s="19"/>
      <c r="O47" s="41">
        <f t="shared" si="2"/>
        <v>4436.9799999999996</v>
      </c>
      <c r="P47" s="19">
        <v>66.430000000000007</v>
      </c>
      <c r="Q47" s="19">
        <v>391.66</v>
      </c>
      <c r="R47" s="19">
        <v>51.6</v>
      </c>
      <c r="S47" s="19">
        <v>140.72</v>
      </c>
      <c r="T47" s="19">
        <f>SUM(P47:Q47:R47:S47)</f>
        <v>650.41000000000008</v>
      </c>
      <c r="U47" s="41">
        <f t="shared" si="3"/>
        <v>3786.5699999999997</v>
      </c>
    </row>
    <row r="48" spans="1:21" x14ac:dyDescent="0.25">
      <c r="A48" s="6" t="s">
        <v>59</v>
      </c>
      <c r="B48" s="7" t="s">
        <v>76</v>
      </c>
      <c r="C48" s="7" t="s">
        <v>96</v>
      </c>
      <c r="D48" s="19">
        <v>8046.12</v>
      </c>
      <c r="E48" s="9"/>
      <c r="F48" s="9"/>
      <c r="G48" s="9"/>
      <c r="H48" s="9">
        <v>600</v>
      </c>
      <c r="I48" s="9"/>
      <c r="J48" s="43">
        <v>164</v>
      </c>
      <c r="K48" s="19">
        <f>SUM(H48:I48:J48)</f>
        <v>764</v>
      </c>
      <c r="L48" s="19"/>
      <c r="M48" s="19"/>
      <c r="N48" s="19"/>
      <c r="O48" s="41">
        <f t="shared" si="2"/>
        <v>8810.119999999999</v>
      </c>
      <c r="P48" s="19">
        <v>1186.33</v>
      </c>
      <c r="Q48" s="19">
        <v>570.88</v>
      </c>
      <c r="R48" s="19"/>
      <c r="S48" s="19">
        <v>164</v>
      </c>
      <c r="T48" s="19">
        <f>SUM(P48:Q48:R48:S48)</f>
        <v>1921.21</v>
      </c>
      <c r="U48" s="41">
        <f t="shared" si="3"/>
        <v>6888.9099999999989</v>
      </c>
    </row>
    <row r="49" spans="1:21" x14ac:dyDescent="0.25">
      <c r="A49" s="6" t="s">
        <v>60</v>
      </c>
      <c r="B49" s="7" t="s">
        <v>87</v>
      </c>
      <c r="C49" s="7" t="s">
        <v>94</v>
      </c>
      <c r="D49" s="19">
        <v>6791.55</v>
      </c>
      <c r="E49" s="9"/>
      <c r="F49" s="9"/>
      <c r="G49" s="9"/>
      <c r="H49" s="9">
        <v>600</v>
      </c>
      <c r="I49" s="9"/>
      <c r="J49" s="9">
        <v>152</v>
      </c>
      <c r="K49" s="19">
        <f>SUM(H49:I49:J49)</f>
        <v>752</v>
      </c>
      <c r="L49" s="19"/>
      <c r="M49" s="19"/>
      <c r="N49" s="19">
        <v>5547.93</v>
      </c>
      <c r="O49" s="41">
        <f t="shared" si="2"/>
        <v>13091.48</v>
      </c>
      <c r="P49" s="19">
        <v>2367.0100000000002</v>
      </c>
      <c r="Q49" s="19">
        <v>570.88</v>
      </c>
      <c r="R49" s="19"/>
      <c r="S49" s="19">
        <v>152</v>
      </c>
      <c r="T49" s="19">
        <f>SUM(P49:Q49:R49:S49)</f>
        <v>3089.8900000000003</v>
      </c>
      <c r="U49" s="41">
        <f t="shared" si="3"/>
        <v>10001.59</v>
      </c>
    </row>
    <row r="50" spans="1:21" x14ac:dyDescent="0.25">
      <c r="A50" s="6" t="s">
        <v>61</v>
      </c>
      <c r="B50" s="7" t="s">
        <v>88</v>
      </c>
      <c r="C50" s="7" t="s">
        <v>93</v>
      </c>
      <c r="D50" s="19">
        <v>9395.69</v>
      </c>
      <c r="E50" s="9"/>
      <c r="F50" s="9"/>
      <c r="G50" s="9"/>
      <c r="H50" s="9">
        <v>600</v>
      </c>
      <c r="I50" s="9"/>
      <c r="J50" s="9">
        <v>164</v>
      </c>
      <c r="K50" s="19">
        <f>SUM(H50:I50:J50)</f>
        <v>764</v>
      </c>
      <c r="L50" s="19"/>
      <c r="M50" s="19"/>
      <c r="N50" s="19"/>
      <c r="O50" s="41">
        <f t="shared" si="2"/>
        <v>10159.69</v>
      </c>
      <c r="P50" s="19">
        <v>1557.46</v>
      </c>
      <c r="Q50" s="19">
        <v>570.88</v>
      </c>
      <c r="R50" s="19"/>
      <c r="S50" s="19">
        <v>164</v>
      </c>
      <c r="T50" s="19">
        <f>SUM(P50:Q50:R50:S50)</f>
        <v>2292.34</v>
      </c>
      <c r="U50" s="41">
        <f t="shared" si="3"/>
        <v>7867.35</v>
      </c>
    </row>
    <row r="51" spans="1:21" x14ac:dyDescent="0.25">
      <c r="A51" s="7" t="s">
        <v>62</v>
      </c>
      <c r="B51" s="7" t="s">
        <v>83</v>
      </c>
      <c r="C51" s="7" t="s">
        <v>94</v>
      </c>
      <c r="D51" s="19">
        <v>3517.98</v>
      </c>
      <c r="E51" s="9"/>
      <c r="F51" s="9"/>
      <c r="G51" s="9"/>
      <c r="H51" s="9">
        <v>600</v>
      </c>
      <c r="I51" s="9"/>
      <c r="J51" s="9">
        <v>400</v>
      </c>
      <c r="K51" s="19">
        <f>SUM(H51:I51:J51)</f>
        <v>1000</v>
      </c>
      <c r="L51" s="19"/>
      <c r="M51" s="19"/>
      <c r="N51" s="19"/>
      <c r="O51" s="41">
        <f t="shared" si="2"/>
        <v>4517.9799999999996</v>
      </c>
      <c r="P51" s="19">
        <v>114.5</v>
      </c>
      <c r="Q51" s="19">
        <v>386.69</v>
      </c>
      <c r="R51" s="19">
        <v>37.82</v>
      </c>
      <c r="S51" s="19">
        <v>140.72</v>
      </c>
      <c r="T51" s="19">
        <f>SUM(P51:Q51:R51:S51)</f>
        <v>679.73</v>
      </c>
      <c r="U51" s="41">
        <f t="shared" si="3"/>
        <v>3838.2499999999995</v>
      </c>
    </row>
    <row r="52" spans="1:21" x14ac:dyDescent="0.25">
      <c r="A52" s="7" t="s">
        <v>63</v>
      </c>
      <c r="B52" s="7" t="s">
        <v>89</v>
      </c>
      <c r="C52" s="7" t="s">
        <v>98</v>
      </c>
      <c r="D52" s="19">
        <v>6791.55</v>
      </c>
      <c r="E52" s="9"/>
      <c r="F52" s="9"/>
      <c r="G52" s="9"/>
      <c r="H52" s="9">
        <v>600</v>
      </c>
      <c r="I52" s="9"/>
      <c r="J52" s="9">
        <v>164</v>
      </c>
      <c r="K52" s="19">
        <f>SUM(H52:I52:J52)</f>
        <v>764</v>
      </c>
      <c r="L52" s="19"/>
      <c r="M52" s="19"/>
      <c r="N52" s="19"/>
      <c r="O52" s="41">
        <f t="shared" si="2"/>
        <v>7555.55</v>
      </c>
      <c r="P52" s="19">
        <v>841.32</v>
      </c>
      <c r="Q52" s="19">
        <v>570.88</v>
      </c>
      <c r="R52" s="19"/>
      <c r="S52" s="19">
        <v>164</v>
      </c>
      <c r="T52" s="19">
        <f>SUM(P52:Q52:R52:S52)</f>
        <v>1576.2</v>
      </c>
      <c r="U52" s="41">
        <f t="shared" si="3"/>
        <v>5979.35</v>
      </c>
    </row>
    <row r="53" spans="1:21" hidden="1" x14ac:dyDescent="0.25">
      <c r="A53" s="13" t="s">
        <v>129</v>
      </c>
      <c r="B53" s="15" t="s">
        <v>72</v>
      </c>
      <c r="C53" s="7" t="s">
        <v>106</v>
      </c>
      <c r="D53" s="41">
        <v>1308.92</v>
      </c>
      <c r="E53" s="9"/>
      <c r="F53" s="9"/>
      <c r="G53" s="9"/>
      <c r="H53" s="9">
        <v>600</v>
      </c>
      <c r="I53" s="9"/>
      <c r="J53" s="43">
        <v>260</v>
      </c>
      <c r="K53" s="28">
        <f>SUM(H53:I53:J53)</f>
        <v>860</v>
      </c>
      <c r="L53" s="9"/>
      <c r="M53" s="9"/>
      <c r="N53" s="9"/>
      <c r="O53" s="47">
        <f t="shared" si="2"/>
        <v>2168.92</v>
      </c>
      <c r="P53" s="9"/>
      <c r="Q53" s="9"/>
      <c r="R53" s="9"/>
      <c r="S53" s="9"/>
      <c r="T53" s="9">
        <f>SUM(P53:Q53:R53:S53)</f>
        <v>0</v>
      </c>
      <c r="U53" s="47">
        <f t="shared" si="3"/>
        <v>2168.92</v>
      </c>
    </row>
    <row r="54" spans="1:21" x14ac:dyDescent="0.25">
      <c r="A54" s="6" t="s">
        <v>64</v>
      </c>
      <c r="B54" s="7" t="s">
        <v>68</v>
      </c>
      <c r="C54" s="7" t="s">
        <v>96</v>
      </c>
      <c r="D54" s="19">
        <v>3517.98</v>
      </c>
      <c r="E54" s="9"/>
      <c r="F54" s="9"/>
      <c r="G54" s="9">
        <v>70.290000000000006</v>
      </c>
      <c r="H54" s="9">
        <v>600</v>
      </c>
      <c r="I54" s="9"/>
      <c r="J54" s="43">
        <v>164</v>
      </c>
      <c r="K54" s="19">
        <f>SUM(H54:I54:J54)</f>
        <v>764</v>
      </c>
      <c r="L54" s="19"/>
      <c r="M54" s="19"/>
      <c r="N54" s="19"/>
      <c r="O54" s="41">
        <f t="shared" si="2"/>
        <v>4352.2700000000004</v>
      </c>
      <c r="P54" s="19">
        <v>124.23</v>
      </c>
      <c r="Q54" s="19">
        <v>394.71</v>
      </c>
      <c r="R54" s="19"/>
      <c r="S54" s="19">
        <v>140.72</v>
      </c>
      <c r="T54" s="19">
        <f>SUM(P54:Q54:R54:S54)</f>
        <v>659.66</v>
      </c>
      <c r="U54" s="41">
        <f t="shared" si="3"/>
        <v>3692.6100000000006</v>
      </c>
    </row>
    <row r="55" spans="1:21" x14ac:dyDescent="0.25">
      <c r="A55" s="7" t="s">
        <v>65</v>
      </c>
      <c r="B55" s="7" t="s">
        <v>90</v>
      </c>
      <c r="C55" s="7" t="s">
        <v>100</v>
      </c>
      <c r="D55" s="19">
        <v>6791.55</v>
      </c>
      <c r="E55" s="9"/>
      <c r="F55" s="9"/>
      <c r="G55" s="9">
        <v>57.45</v>
      </c>
      <c r="H55" s="9">
        <v>600</v>
      </c>
      <c r="I55" s="9"/>
      <c r="J55" s="9"/>
      <c r="K55" s="19">
        <f>SUM(H55:I55:J55)</f>
        <v>600</v>
      </c>
      <c r="L55" s="19"/>
      <c r="M55" s="19"/>
      <c r="N55" s="19"/>
      <c r="O55" s="41">
        <f t="shared" si="2"/>
        <v>7449</v>
      </c>
      <c r="P55" s="19">
        <v>857.12</v>
      </c>
      <c r="Q55" s="19">
        <v>570.88</v>
      </c>
      <c r="R55" s="19"/>
      <c r="S55" s="19"/>
      <c r="T55" s="19">
        <f>SUM(P55:Q55:R55:S55)</f>
        <v>1428</v>
      </c>
      <c r="U55" s="41">
        <f t="shared" si="3"/>
        <v>6021</v>
      </c>
    </row>
    <row r="56" spans="1:21" hidden="1" x14ac:dyDescent="0.25">
      <c r="A56" s="6" t="s">
        <v>66</v>
      </c>
      <c r="B56" s="7" t="s">
        <v>72</v>
      </c>
      <c r="C56" s="7" t="s">
        <v>102</v>
      </c>
      <c r="D56" s="19">
        <v>1308.92</v>
      </c>
      <c r="E56" s="9"/>
      <c r="F56" s="9"/>
      <c r="G56" s="9"/>
      <c r="H56" s="9">
        <v>600</v>
      </c>
      <c r="I56" s="9"/>
      <c r="J56" s="9">
        <v>260</v>
      </c>
      <c r="K56" s="28">
        <f>SUM(H56:I56:J56)</f>
        <v>860</v>
      </c>
      <c r="L56" s="9"/>
      <c r="M56" s="9"/>
      <c r="N56" s="9"/>
      <c r="O56" s="47">
        <f t="shared" si="2"/>
        <v>2168.92</v>
      </c>
      <c r="P56" s="9"/>
      <c r="Q56" s="9"/>
      <c r="R56" s="9"/>
      <c r="S56" s="9"/>
      <c r="T56" s="9">
        <f>SUM(P56:Q56:R56:S56)</f>
        <v>0</v>
      </c>
      <c r="U56" s="47">
        <f t="shared" si="3"/>
        <v>2168.92</v>
      </c>
    </row>
    <row r="57" spans="1:21" x14ac:dyDescent="0.25">
      <c r="A57" s="7" t="s">
        <v>67</v>
      </c>
      <c r="B57" s="7" t="s">
        <v>91</v>
      </c>
      <c r="C57" s="7" t="s">
        <v>95</v>
      </c>
      <c r="D57" s="19">
        <v>9395.69</v>
      </c>
      <c r="E57" s="9"/>
      <c r="F57" s="9"/>
      <c r="G57" s="9"/>
      <c r="H57" s="9">
        <v>600</v>
      </c>
      <c r="I57" s="9"/>
      <c r="J57" s="9"/>
      <c r="K57" s="19">
        <f>SUM(H57:I57:J57)</f>
        <v>600</v>
      </c>
      <c r="L57" s="19"/>
      <c r="M57" s="19"/>
      <c r="N57" s="19"/>
      <c r="O57" s="41">
        <f t="shared" si="2"/>
        <v>9995.69</v>
      </c>
      <c r="P57" s="19">
        <v>1557.46</v>
      </c>
      <c r="Q57" s="19">
        <v>570.88</v>
      </c>
      <c r="R57" s="19"/>
      <c r="S57" s="19"/>
      <c r="T57" s="19">
        <f>SUM(P57:Q57:R57:S57)</f>
        <v>2128.34</v>
      </c>
      <c r="U57" s="41">
        <f t="shared" si="3"/>
        <v>7867.35</v>
      </c>
    </row>
    <row r="58" spans="1:21" hidden="1" x14ac:dyDescent="0.25">
      <c r="A58" s="2"/>
      <c r="B58" s="2"/>
      <c r="C58" s="2"/>
      <c r="D58" s="2"/>
      <c r="E58" s="2"/>
      <c r="F58" s="2"/>
      <c r="G58" s="2"/>
      <c r="H58" s="27">
        <f>SUM(H5:H57)</f>
        <v>28710</v>
      </c>
      <c r="I58" s="27">
        <f>SUM(I5:I57)</f>
        <v>1250</v>
      </c>
      <c r="J58" s="27">
        <f>SUM(J5:J57)</f>
        <v>8523.6</v>
      </c>
      <c r="K58" s="1"/>
      <c r="L58" s="2"/>
      <c r="M58" s="2"/>
      <c r="N58" s="2"/>
      <c r="O58" s="3"/>
      <c r="P58" s="2"/>
      <c r="Q58" s="2"/>
      <c r="R58" s="2"/>
      <c r="S58" s="2"/>
      <c r="T58" s="2"/>
      <c r="U58" s="44">
        <f>SUM(U5:U57)</f>
        <v>290999.09999999992</v>
      </c>
    </row>
    <row r="59" spans="1:21" ht="19.5" x14ac:dyDescent="0.3">
      <c r="A59" s="21" t="s">
        <v>108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2"/>
      <c r="T59" s="2"/>
      <c r="U59" s="2"/>
    </row>
    <row r="60" spans="1:21" ht="15.75" x14ac:dyDescent="0.25">
      <c r="A60" s="32" t="s">
        <v>0</v>
      </c>
      <c r="B60" s="32" t="s">
        <v>1</v>
      </c>
      <c r="C60" s="32" t="s">
        <v>2</v>
      </c>
      <c r="D60" s="32" t="s">
        <v>111</v>
      </c>
      <c r="E60" s="32" t="s">
        <v>110</v>
      </c>
      <c r="F60" s="32" t="s">
        <v>11</v>
      </c>
      <c r="G60" s="32" t="s">
        <v>12</v>
      </c>
      <c r="H60" s="32" t="s">
        <v>109</v>
      </c>
      <c r="I60" s="2"/>
      <c r="J60" s="2"/>
      <c r="K60" s="2"/>
      <c r="L60" s="2"/>
      <c r="M60" s="3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50" t="s">
        <v>42</v>
      </c>
      <c r="B61" s="50" t="s">
        <v>69</v>
      </c>
      <c r="C61" s="50" t="s">
        <v>100</v>
      </c>
      <c r="D61" s="51">
        <v>1758.99</v>
      </c>
      <c r="E61" s="50"/>
      <c r="F61" s="50"/>
      <c r="G61" s="50"/>
      <c r="H61" s="48"/>
    </row>
    <row r="62" spans="1:21" x14ac:dyDescent="0.25">
      <c r="A62" s="50" t="s">
        <v>38</v>
      </c>
      <c r="B62" s="50" t="s">
        <v>81</v>
      </c>
      <c r="C62" s="50" t="s">
        <v>98</v>
      </c>
      <c r="D62" s="51">
        <v>1980.87</v>
      </c>
      <c r="E62" s="50"/>
      <c r="F62" s="50"/>
      <c r="G62" s="50"/>
      <c r="H62" s="48"/>
    </row>
    <row r="63" spans="1:21" x14ac:dyDescent="0.25">
      <c r="A63" s="50" t="s">
        <v>20</v>
      </c>
      <c r="B63" s="50" t="s">
        <v>71</v>
      </c>
      <c r="C63" s="50" t="s">
        <v>95</v>
      </c>
      <c r="D63" s="51">
        <v>2574.87</v>
      </c>
      <c r="E63" s="50"/>
      <c r="F63" s="50"/>
      <c r="G63" s="50"/>
      <c r="H63" s="48"/>
    </row>
    <row r="64" spans="1:21" x14ac:dyDescent="0.25">
      <c r="A64" s="48"/>
      <c r="B64" s="48"/>
      <c r="C64" s="48"/>
      <c r="D64" s="49"/>
      <c r="E64" s="48"/>
      <c r="F64" s="48"/>
      <c r="G64" s="48"/>
      <c r="H64" s="48"/>
    </row>
  </sheetData>
  <autoFilter ref="A4:U63">
    <filterColumn colId="1">
      <filters blank="1">
        <filter val="AGENTE DE FISCALIZAÇÃO"/>
        <filter val="ANALISTA TECNICO"/>
        <filter val="ASSESSOR CHEFE DE COMUNICAÇÃO"/>
        <filter val="ASSESSOR CHEFE DO JURIDICO"/>
        <filter val="ASSESSOR ESPECIAL"/>
        <filter val="ASSISTENTE ADMINISTRATIVO"/>
        <filter val="ASSISTENTE DE SISTEMAS"/>
        <filter val="ASSISTENTE FINANCEIRO"/>
        <filter val="ASSISTENTE TECNICO"/>
        <filter val="AUDITOR"/>
        <filter val="Cargo"/>
        <filter val="CHEFE DE GABINETE DA PRESIDÊNCIA"/>
        <filter val="ESPECIALISTA COMUNICAÇÃO"/>
        <filter val="ESPECIALISTA FINANCEIRO"/>
        <filter val="ESPECIALISTA JURIDICO"/>
        <filter val="GERENTE ADMINISTRATIVO"/>
        <filter val="GERENTE DE FISCALIZAÇÃO"/>
        <filter val="GERENTE FINANCEIRO"/>
        <filter val="GERENTE GERAL"/>
        <filter val="GERENTE TECNICO"/>
        <filter val="SECRETARIA GERAL DE MESA"/>
        <filter val="SECRETARIO EXECUTIVO"/>
      </filters>
    </filterColumn>
  </autoFilter>
  <sortState ref="A5:U57">
    <sortCondition ref="A4"/>
  </sortState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pane xSplit="1" topLeftCell="L1" activePane="topRight" state="frozen"/>
      <selection activeCell="A31" sqref="A31"/>
      <selection pane="topRight" activeCell="K45" sqref="K45"/>
    </sheetView>
  </sheetViews>
  <sheetFormatPr defaultRowHeight="15" x14ac:dyDescent="0.25"/>
  <cols>
    <col min="1" max="1" width="46.28515625" customWidth="1"/>
    <col min="2" max="2" width="30.28515625" customWidth="1"/>
    <col min="3" max="3" width="29.85546875" customWidth="1"/>
    <col min="4" max="4" width="17.42578125" customWidth="1"/>
    <col min="5" max="5" width="16.85546875" customWidth="1"/>
    <col min="6" max="6" width="15" customWidth="1"/>
    <col min="7" max="7" width="14.5703125" customWidth="1"/>
    <col min="8" max="8" width="15.42578125" customWidth="1"/>
    <col min="9" max="9" width="16.28515625" customWidth="1"/>
    <col min="10" max="10" width="15.7109375" customWidth="1"/>
    <col min="11" max="11" width="17.5703125" customWidth="1"/>
    <col min="12" max="13" width="18.5703125" customWidth="1"/>
    <col min="14" max="14" width="18.140625" customWidth="1"/>
    <col min="15" max="15" width="18" customWidth="1"/>
    <col min="16" max="16" width="17.7109375" customWidth="1"/>
    <col min="17" max="17" width="16" customWidth="1"/>
    <col min="18" max="18" width="17.42578125" customWidth="1"/>
    <col min="19" max="19" width="16" customWidth="1"/>
    <col min="20" max="20" width="14.5703125" customWidth="1"/>
    <col min="21" max="21" width="16.42578125" customWidth="1"/>
  </cols>
  <sheetData>
    <row r="1" spans="1:21" ht="18.75" x14ac:dyDescent="0.3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 x14ac:dyDescent="0.3">
      <c r="A2" s="45" t="s">
        <v>134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31.5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16</v>
      </c>
      <c r="G4" s="32" t="s">
        <v>5</v>
      </c>
      <c r="H4" s="32" t="s">
        <v>107</v>
      </c>
      <c r="I4" s="32" t="s">
        <v>118</v>
      </c>
      <c r="J4" s="32" t="s">
        <v>103</v>
      </c>
      <c r="K4" s="32" t="s">
        <v>6</v>
      </c>
      <c r="L4" s="32" t="s">
        <v>8</v>
      </c>
      <c r="M4" s="32" t="s">
        <v>126</v>
      </c>
      <c r="N4" s="32" t="s">
        <v>9</v>
      </c>
      <c r="O4" s="32" t="s">
        <v>10</v>
      </c>
      <c r="P4" s="32" t="s">
        <v>11</v>
      </c>
      <c r="Q4" s="32" t="s">
        <v>12</v>
      </c>
      <c r="R4" s="32" t="s">
        <v>13</v>
      </c>
      <c r="S4" s="32" t="s">
        <v>103</v>
      </c>
      <c r="T4" s="32" t="s">
        <v>14</v>
      </c>
      <c r="U4" s="32" t="s">
        <v>15</v>
      </c>
    </row>
    <row r="5" spans="1:21" x14ac:dyDescent="0.25">
      <c r="A5" s="6" t="s">
        <v>17</v>
      </c>
      <c r="B5" s="7" t="s">
        <v>68</v>
      </c>
      <c r="C5" s="7" t="s">
        <v>92</v>
      </c>
      <c r="D5" s="19">
        <v>3517.98</v>
      </c>
      <c r="E5" s="9"/>
      <c r="F5" s="9"/>
      <c r="G5" s="9"/>
      <c r="H5" s="9">
        <v>630</v>
      </c>
      <c r="I5" s="9">
        <v>0</v>
      </c>
      <c r="J5" s="9">
        <v>420</v>
      </c>
      <c r="K5" s="28">
        <f>SUM(H5:I5:J5)</f>
        <v>1050</v>
      </c>
      <c r="L5" s="9"/>
      <c r="M5" s="9"/>
      <c r="N5" s="9"/>
      <c r="O5" s="47">
        <f t="shared" ref="O5:O57" si="0">SUM(D5+E5+F5+G5+K5+L5+M5+N5)</f>
        <v>4567.9799999999996</v>
      </c>
      <c r="P5" s="9">
        <v>113.4</v>
      </c>
      <c r="Q5" s="9">
        <v>385.78</v>
      </c>
      <c r="R5" s="9">
        <v>46.03</v>
      </c>
      <c r="S5" s="9">
        <v>147.76</v>
      </c>
      <c r="T5" s="9">
        <f>SUM(P5:Q5:R5:S5)</f>
        <v>692.96999999999991</v>
      </c>
      <c r="U5" s="47">
        <f t="shared" ref="U5:U57" si="1">SUM(O5-T5)</f>
        <v>3875.0099999999998</v>
      </c>
    </row>
    <row r="6" spans="1:21" x14ac:dyDescent="0.25">
      <c r="A6" s="6" t="s">
        <v>18</v>
      </c>
      <c r="B6" s="7" t="s">
        <v>69</v>
      </c>
      <c r="C6" s="7" t="s">
        <v>93</v>
      </c>
      <c r="D6" s="19">
        <v>3517.98</v>
      </c>
      <c r="E6" s="9"/>
      <c r="F6" s="9"/>
      <c r="G6" s="9"/>
      <c r="H6" s="9">
        <v>390</v>
      </c>
      <c r="I6" s="9">
        <v>250</v>
      </c>
      <c r="J6" s="9">
        <v>0</v>
      </c>
      <c r="K6" s="28">
        <f>SUM(H6:I6:J6)</f>
        <v>640</v>
      </c>
      <c r="L6" s="9"/>
      <c r="M6" s="9"/>
      <c r="N6" s="9"/>
      <c r="O6" s="47">
        <f t="shared" si="0"/>
        <v>4157.9799999999996</v>
      </c>
      <c r="P6" s="9">
        <v>63.59</v>
      </c>
      <c r="Q6" s="9">
        <v>386.98</v>
      </c>
      <c r="R6" s="9"/>
      <c r="S6" s="9"/>
      <c r="T6" s="9">
        <f>SUM(P6:Q6:R6:S6)</f>
        <v>450.57000000000005</v>
      </c>
      <c r="U6" s="47">
        <f t="shared" si="1"/>
        <v>3707.4099999999994</v>
      </c>
    </row>
    <row r="7" spans="1:21" x14ac:dyDescent="0.25">
      <c r="A7" s="10" t="s">
        <v>19</v>
      </c>
      <c r="B7" s="11" t="s">
        <v>70</v>
      </c>
      <c r="C7" s="11" t="s">
        <v>94</v>
      </c>
      <c r="D7" s="19">
        <v>12339.48</v>
      </c>
      <c r="E7" s="9"/>
      <c r="F7" s="9"/>
      <c r="G7" s="9"/>
      <c r="H7" s="9">
        <v>30</v>
      </c>
      <c r="I7" s="9">
        <v>0</v>
      </c>
      <c r="J7" s="9">
        <v>0</v>
      </c>
      <c r="K7" s="28">
        <f>SUM(H7:I7:J7)</f>
        <v>30</v>
      </c>
      <c r="L7" s="9"/>
      <c r="M7" s="9"/>
      <c r="N7" s="9"/>
      <c r="O7" s="47">
        <f t="shared" si="0"/>
        <v>12369.48</v>
      </c>
      <c r="P7" s="9">
        <v>2314.87</v>
      </c>
      <c r="Q7" s="9">
        <v>570.88</v>
      </c>
      <c r="R7" s="9"/>
      <c r="S7" s="9"/>
      <c r="T7" s="9">
        <f>SUM(P7:Q7:R7:S7)</f>
        <v>2885.75</v>
      </c>
      <c r="U7" s="47">
        <f t="shared" si="1"/>
        <v>9483.73</v>
      </c>
    </row>
    <row r="8" spans="1:21" x14ac:dyDescent="0.25">
      <c r="A8" s="10" t="s">
        <v>20</v>
      </c>
      <c r="B8" s="11" t="s">
        <v>71</v>
      </c>
      <c r="C8" s="11" t="s">
        <v>95</v>
      </c>
      <c r="D8" s="19">
        <v>5149.7299999999996</v>
      </c>
      <c r="E8" s="9"/>
      <c r="F8" s="9"/>
      <c r="G8" s="19"/>
      <c r="H8" s="9">
        <v>630</v>
      </c>
      <c r="I8" s="9">
        <v>0</v>
      </c>
      <c r="J8" s="9">
        <v>159.6</v>
      </c>
      <c r="K8" s="28">
        <f>SUM(H8:I8:J8)</f>
        <v>789.6</v>
      </c>
      <c r="L8" s="9"/>
      <c r="M8" s="9"/>
      <c r="N8" s="9"/>
      <c r="O8" s="47">
        <f t="shared" si="0"/>
        <v>5939.33</v>
      </c>
      <c r="P8" s="9">
        <v>309.79000000000002</v>
      </c>
      <c r="Q8" s="9">
        <v>566.47</v>
      </c>
      <c r="R8" s="9"/>
      <c r="S8" s="9">
        <v>159.6</v>
      </c>
      <c r="T8" s="9">
        <f>SUM(P8:Q8:R8:S8)</f>
        <v>1035.8599999999999</v>
      </c>
      <c r="U8" s="47">
        <f t="shared" si="1"/>
        <v>4903.47</v>
      </c>
    </row>
    <row r="9" spans="1:21" x14ac:dyDescent="0.25">
      <c r="A9" s="7" t="s">
        <v>22</v>
      </c>
      <c r="B9" s="7" t="s">
        <v>68</v>
      </c>
      <c r="C9" s="7" t="s">
        <v>92</v>
      </c>
      <c r="D9" s="19">
        <v>3517.98</v>
      </c>
      <c r="E9" s="9"/>
      <c r="F9" s="9"/>
      <c r="G9" s="9"/>
      <c r="H9" s="9">
        <v>630</v>
      </c>
      <c r="I9" s="9">
        <v>0</v>
      </c>
      <c r="J9" s="9">
        <v>273</v>
      </c>
      <c r="K9" s="28">
        <f>SUM(H9:I9:J9)</f>
        <v>903</v>
      </c>
      <c r="L9" s="9"/>
      <c r="M9" s="9"/>
      <c r="N9" s="9"/>
      <c r="O9" s="47">
        <f t="shared" si="0"/>
        <v>4420.9799999999996</v>
      </c>
      <c r="P9" s="9">
        <v>85.16</v>
      </c>
      <c r="Q9" s="9">
        <v>385.95</v>
      </c>
      <c r="R9" s="9">
        <v>44.56</v>
      </c>
      <c r="S9" s="9">
        <v>147.76</v>
      </c>
      <c r="T9" s="9">
        <f>SUM(P9:Q9:R9:S9)</f>
        <v>663.43000000000006</v>
      </c>
      <c r="U9" s="47">
        <f t="shared" si="1"/>
        <v>3757.5499999999993</v>
      </c>
    </row>
    <row r="10" spans="1:21" x14ac:dyDescent="0.25">
      <c r="A10" s="6" t="s">
        <v>23</v>
      </c>
      <c r="B10" s="7" t="s">
        <v>68</v>
      </c>
      <c r="C10" s="7" t="s">
        <v>96</v>
      </c>
      <c r="D10" s="19">
        <v>3517.98</v>
      </c>
      <c r="E10" s="9"/>
      <c r="F10" s="9"/>
      <c r="G10" s="9"/>
      <c r="H10" s="9">
        <v>630</v>
      </c>
      <c r="I10" s="9">
        <v>0</v>
      </c>
      <c r="J10" s="42">
        <v>159.6</v>
      </c>
      <c r="K10" s="28">
        <f>SUM(H10:I10:J10)</f>
        <v>789.6</v>
      </c>
      <c r="L10" s="9"/>
      <c r="M10" s="9"/>
      <c r="N10" s="9"/>
      <c r="O10" s="47">
        <f t="shared" si="0"/>
        <v>4307.58</v>
      </c>
      <c r="P10" s="9">
        <v>114.85</v>
      </c>
      <c r="Q10" s="9">
        <v>386.98</v>
      </c>
      <c r="R10" s="9">
        <v>35.18</v>
      </c>
      <c r="S10" s="9">
        <v>147.76</v>
      </c>
      <c r="T10" s="9">
        <f>SUM(P10:Q10:R10:S10)</f>
        <v>684.77</v>
      </c>
      <c r="U10" s="47">
        <f t="shared" si="1"/>
        <v>3622.81</v>
      </c>
    </row>
    <row r="11" spans="1:21" x14ac:dyDescent="0.25">
      <c r="A11" s="6" t="s">
        <v>24</v>
      </c>
      <c r="B11" s="7" t="s">
        <v>72</v>
      </c>
      <c r="C11" s="7" t="s">
        <v>97</v>
      </c>
      <c r="D11" s="19">
        <v>1308.92</v>
      </c>
      <c r="E11" s="9"/>
      <c r="F11" s="9"/>
      <c r="G11" s="9"/>
      <c r="H11" s="9">
        <v>630</v>
      </c>
      <c r="I11" s="9">
        <v>0</v>
      </c>
      <c r="J11" s="9">
        <v>331.8</v>
      </c>
      <c r="K11" s="28">
        <f>SUM(H11:I11:J11)</f>
        <v>961.8</v>
      </c>
      <c r="L11" s="9"/>
      <c r="M11" s="9"/>
      <c r="N11" s="9"/>
      <c r="O11" s="47">
        <f t="shared" si="0"/>
        <v>2270.7200000000003</v>
      </c>
      <c r="P11" s="9"/>
      <c r="Q11" s="9"/>
      <c r="R11" s="9"/>
      <c r="S11" s="9"/>
      <c r="T11" s="9">
        <f>SUM(P11:Q11:R11:S11)</f>
        <v>0</v>
      </c>
      <c r="U11" s="47">
        <f t="shared" si="1"/>
        <v>2270.7200000000003</v>
      </c>
    </row>
    <row r="12" spans="1:21" x14ac:dyDescent="0.25">
      <c r="A12" s="7" t="s">
        <v>25</v>
      </c>
      <c r="B12" s="7" t="s">
        <v>73</v>
      </c>
      <c r="C12" s="7" t="s">
        <v>98</v>
      </c>
      <c r="D12" s="19">
        <v>9395.69</v>
      </c>
      <c r="E12" s="9"/>
      <c r="F12" s="9"/>
      <c r="G12" s="9"/>
      <c r="H12" s="9">
        <v>630</v>
      </c>
      <c r="I12" s="9">
        <v>0</v>
      </c>
      <c r="J12" s="9">
        <v>0</v>
      </c>
      <c r="K12" s="28">
        <f>SUM(H12:I12:J12)</f>
        <v>630</v>
      </c>
      <c r="L12" s="12"/>
      <c r="M12" s="9"/>
      <c r="N12" s="9"/>
      <c r="O12" s="47">
        <f t="shared" si="0"/>
        <v>10025.69</v>
      </c>
      <c r="P12" s="9">
        <v>1557.46</v>
      </c>
      <c r="Q12" s="9">
        <v>570.88</v>
      </c>
      <c r="R12" s="9"/>
      <c r="S12" s="9"/>
      <c r="T12" s="9">
        <f>SUM(P12:Q12:R12:S12)</f>
        <v>2128.34</v>
      </c>
      <c r="U12" s="47">
        <f t="shared" si="1"/>
        <v>7897.35</v>
      </c>
    </row>
    <row r="13" spans="1:21" x14ac:dyDescent="0.25">
      <c r="A13" s="7" t="s">
        <v>26</v>
      </c>
      <c r="B13" s="7" t="s">
        <v>68</v>
      </c>
      <c r="C13" s="7" t="s">
        <v>96</v>
      </c>
      <c r="D13" s="19">
        <v>0</v>
      </c>
      <c r="E13" s="9"/>
      <c r="F13" s="9"/>
      <c r="G13" s="9"/>
      <c r="H13" s="9">
        <v>630</v>
      </c>
      <c r="I13" s="9">
        <v>0</v>
      </c>
      <c r="J13" s="43">
        <v>331.8</v>
      </c>
      <c r="K13" s="28">
        <f>SUM(H13:I13:J13)</f>
        <v>961.8</v>
      </c>
      <c r="L13" s="9"/>
      <c r="M13" s="9"/>
      <c r="N13" s="9"/>
      <c r="O13" s="47">
        <f t="shared" si="0"/>
        <v>961.8</v>
      </c>
      <c r="P13" s="9"/>
      <c r="Q13" s="9"/>
      <c r="R13" s="9"/>
      <c r="S13" s="9"/>
      <c r="T13" s="9">
        <f>SUM(P13:Q13:R13:S13)</f>
        <v>0</v>
      </c>
      <c r="U13" s="47">
        <f t="shared" si="1"/>
        <v>961.8</v>
      </c>
    </row>
    <row r="14" spans="1:21" x14ac:dyDescent="0.25">
      <c r="A14" s="13" t="s">
        <v>27</v>
      </c>
      <c r="B14" s="14" t="s">
        <v>74</v>
      </c>
      <c r="C14" s="14" t="s">
        <v>99</v>
      </c>
      <c r="D14" s="19">
        <v>9395.69</v>
      </c>
      <c r="E14" s="9"/>
      <c r="F14" s="9"/>
      <c r="G14" s="9"/>
      <c r="H14" s="9">
        <v>480</v>
      </c>
      <c r="I14" s="9">
        <v>0</v>
      </c>
      <c r="J14" s="9">
        <v>114.8</v>
      </c>
      <c r="K14" s="28">
        <f>SUM(H14:I14:J14)</f>
        <v>594.79999999999995</v>
      </c>
      <c r="L14" s="9"/>
      <c r="M14" s="9"/>
      <c r="N14" s="9"/>
      <c r="O14" s="47">
        <f t="shared" si="0"/>
        <v>9990.49</v>
      </c>
      <c r="P14" s="9">
        <v>1557.46</v>
      </c>
      <c r="Q14" s="9">
        <v>570.88</v>
      </c>
      <c r="R14" s="9"/>
      <c r="S14" s="9">
        <v>114.8</v>
      </c>
      <c r="T14" s="9">
        <f>SUM(P14:Q14:R14:S14)</f>
        <v>2243.1400000000003</v>
      </c>
      <c r="U14" s="47">
        <f t="shared" si="1"/>
        <v>7747.3499999999995</v>
      </c>
    </row>
    <row r="15" spans="1:21" x14ac:dyDescent="0.25">
      <c r="A15" s="7" t="s">
        <v>28</v>
      </c>
      <c r="B15" s="7" t="s">
        <v>72</v>
      </c>
      <c r="C15" s="7" t="s">
        <v>100</v>
      </c>
      <c r="D15" s="19">
        <v>1308.92</v>
      </c>
      <c r="E15" s="9"/>
      <c r="F15" s="9"/>
      <c r="G15" s="9"/>
      <c r="H15" s="9">
        <v>630</v>
      </c>
      <c r="I15" s="9">
        <v>0</v>
      </c>
      <c r="J15" s="19">
        <v>273</v>
      </c>
      <c r="K15" s="28">
        <f>SUM(H15:I15:J15)</f>
        <v>903</v>
      </c>
      <c r="L15" s="9"/>
      <c r="M15" s="9"/>
      <c r="N15" s="9"/>
      <c r="O15" s="47">
        <f t="shared" si="0"/>
        <v>2211.92</v>
      </c>
      <c r="P15" s="9"/>
      <c r="Q15" s="9"/>
      <c r="R15" s="9"/>
      <c r="S15" s="9"/>
      <c r="T15" s="9">
        <f>SUM(P15:Q15:R15:S15)</f>
        <v>0</v>
      </c>
      <c r="U15" s="47">
        <f t="shared" si="1"/>
        <v>2211.92</v>
      </c>
    </row>
    <row r="16" spans="1:21" x14ac:dyDescent="0.25">
      <c r="A16" s="13" t="s">
        <v>117</v>
      </c>
      <c r="B16" s="15" t="s">
        <v>75</v>
      </c>
      <c r="C16" s="15" t="s">
        <v>95</v>
      </c>
      <c r="D16" s="19">
        <v>5426.21</v>
      </c>
      <c r="E16" s="9"/>
      <c r="F16" s="9"/>
      <c r="G16" s="9"/>
      <c r="H16" s="9">
        <v>0</v>
      </c>
      <c r="I16" s="9">
        <v>0</v>
      </c>
      <c r="J16" s="9">
        <v>0</v>
      </c>
      <c r="K16" s="28">
        <f>SUM(H16:I16:J16)</f>
        <v>0</v>
      </c>
      <c r="L16" s="9"/>
      <c r="M16" s="9"/>
      <c r="N16" s="9"/>
      <c r="O16" s="47">
        <f t="shared" si="0"/>
        <v>5426.21</v>
      </c>
      <c r="P16" s="9">
        <v>570.71</v>
      </c>
      <c r="Q16" s="9"/>
      <c r="R16" s="9"/>
      <c r="S16" s="9"/>
      <c r="T16" s="9">
        <f>SUM(P16:Q16:R16:S16)</f>
        <v>570.71</v>
      </c>
      <c r="U16" s="47">
        <f t="shared" si="1"/>
        <v>4855.5</v>
      </c>
    </row>
    <row r="17" spans="1:21" x14ac:dyDescent="0.25">
      <c r="A17" s="6" t="s">
        <v>29</v>
      </c>
      <c r="B17" s="7" t="s">
        <v>68</v>
      </c>
      <c r="C17" s="7" t="s">
        <v>92</v>
      </c>
      <c r="D17" s="19">
        <v>3517.98</v>
      </c>
      <c r="E17" s="9"/>
      <c r="F17" s="9"/>
      <c r="G17" s="9"/>
      <c r="H17" s="9">
        <v>630</v>
      </c>
      <c r="I17" s="9">
        <v>0</v>
      </c>
      <c r="J17" s="9">
        <v>331.8</v>
      </c>
      <c r="K17" s="28">
        <f>SUM(H17:I17:J17)</f>
        <v>961.8</v>
      </c>
      <c r="L17" s="9"/>
      <c r="M17" s="9"/>
      <c r="N17" s="9"/>
      <c r="O17" s="47">
        <f t="shared" si="0"/>
        <v>4479.78</v>
      </c>
      <c r="P17" s="9">
        <v>114.85</v>
      </c>
      <c r="Q17" s="9">
        <v>386.98</v>
      </c>
      <c r="R17" s="9">
        <v>35.18</v>
      </c>
      <c r="S17" s="9">
        <v>147.76</v>
      </c>
      <c r="T17" s="9">
        <f>SUM(P17:Q17:R17:S17)</f>
        <v>684.77</v>
      </c>
      <c r="U17" s="47">
        <f t="shared" si="1"/>
        <v>3795.0099999999998</v>
      </c>
    </row>
    <row r="18" spans="1:21" x14ac:dyDescent="0.25">
      <c r="A18" s="6" t="s">
        <v>30</v>
      </c>
      <c r="B18" s="7" t="s">
        <v>76</v>
      </c>
      <c r="C18" s="7" t="s">
        <v>97</v>
      </c>
      <c r="D18" s="19">
        <v>8046.12</v>
      </c>
      <c r="E18" s="9"/>
      <c r="F18" s="9"/>
      <c r="G18" s="9"/>
      <c r="H18" s="9">
        <v>630</v>
      </c>
      <c r="I18" s="9">
        <v>0</v>
      </c>
      <c r="J18" s="9">
        <v>172.2</v>
      </c>
      <c r="K18" s="28">
        <f>SUM(H18:I18:J18)</f>
        <v>802.2</v>
      </c>
      <c r="L18" s="9"/>
      <c r="M18" s="9"/>
      <c r="N18" s="9"/>
      <c r="O18" s="47">
        <f t="shared" si="0"/>
        <v>8848.32</v>
      </c>
      <c r="P18" s="9">
        <v>1186.33</v>
      </c>
      <c r="Q18" s="19">
        <v>570.88</v>
      </c>
      <c r="R18" s="9"/>
      <c r="S18" s="9">
        <v>172.2</v>
      </c>
      <c r="T18" s="9">
        <f>SUM(P18:Q18:R18:S18)</f>
        <v>1929.41</v>
      </c>
      <c r="U18" s="47">
        <f t="shared" si="1"/>
        <v>6918.91</v>
      </c>
    </row>
    <row r="19" spans="1:21" x14ac:dyDescent="0.25">
      <c r="A19" s="6" t="s">
        <v>31</v>
      </c>
      <c r="B19" s="7" t="s">
        <v>77</v>
      </c>
      <c r="C19" s="7" t="s">
        <v>96</v>
      </c>
      <c r="D19" s="19">
        <v>8046.12</v>
      </c>
      <c r="E19" s="9"/>
      <c r="F19" s="9"/>
      <c r="G19" s="9"/>
      <c r="H19" s="9">
        <v>630</v>
      </c>
      <c r="I19" s="9">
        <v>0</v>
      </c>
      <c r="J19" s="43">
        <v>0</v>
      </c>
      <c r="K19" s="28">
        <f>SUM(H19:I19:J19)</f>
        <v>630</v>
      </c>
      <c r="L19" s="9"/>
      <c r="M19" s="9"/>
      <c r="N19" s="9"/>
      <c r="O19" s="47">
        <f t="shared" si="0"/>
        <v>8676.119999999999</v>
      </c>
      <c r="P19" s="9">
        <v>1186.33</v>
      </c>
      <c r="Q19" s="9">
        <v>570.88</v>
      </c>
      <c r="R19" s="9"/>
      <c r="S19" s="9"/>
      <c r="T19" s="9">
        <f>SUM(P19:Q19:R19:S19)</f>
        <v>1757.21</v>
      </c>
      <c r="U19" s="47">
        <f t="shared" si="1"/>
        <v>6918.9099999999989</v>
      </c>
    </row>
    <row r="20" spans="1:21" x14ac:dyDescent="0.25">
      <c r="A20" s="6" t="s">
        <v>32</v>
      </c>
      <c r="B20" s="7" t="s">
        <v>78</v>
      </c>
      <c r="C20" s="7" t="s">
        <v>100</v>
      </c>
      <c r="D20" s="19">
        <v>12339.48</v>
      </c>
      <c r="E20" s="9"/>
      <c r="F20" s="9"/>
      <c r="G20" s="9"/>
      <c r="H20" s="9">
        <v>630</v>
      </c>
      <c r="I20" s="9">
        <v>0</v>
      </c>
      <c r="J20" s="9">
        <v>0</v>
      </c>
      <c r="K20" s="28">
        <f>SUM(H20:I20:J20)</f>
        <v>630</v>
      </c>
      <c r="L20" s="9"/>
      <c r="M20" s="9"/>
      <c r="N20" s="9"/>
      <c r="O20" s="47">
        <f t="shared" si="0"/>
        <v>12969.48</v>
      </c>
      <c r="P20" s="9">
        <v>2367.0100000000002</v>
      </c>
      <c r="Q20" s="9">
        <v>570.88</v>
      </c>
      <c r="R20" s="9"/>
      <c r="S20" s="9"/>
      <c r="T20" s="9">
        <f>SUM(P20:Q20:R20:S20)</f>
        <v>2937.8900000000003</v>
      </c>
      <c r="U20" s="47">
        <f t="shared" si="1"/>
        <v>10031.59</v>
      </c>
    </row>
    <row r="21" spans="1:21" x14ac:dyDescent="0.25">
      <c r="A21" s="6" t="s">
        <v>131</v>
      </c>
      <c r="B21" s="7" t="s">
        <v>72</v>
      </c>
      <c r="C21" s="7" t="s">
        <v>98</v>
      </c>
      <c r="D21" s="19">
        <v>1308.92</v>
      </c>
      <c r="E21" s="9"/>
      <c r="F21" s="9"/>
      <c r="G21" s="9"/>
      <c r="H21" s="9">
        <v>630</v>
      </c>
      <c r="I21" s="9">
        <v>0</v>
      </c>
      <c r="J21" s="9">
        <v>273</v>
      </c>
      <c r="K21" s="28">
        <f>SUM(H21:I21:J21)</f>
        <v>903</v>
      </c>
      <c r="L21" s="9"/>
      <c r="M21" s="9"/>
      <c r="N21" s="9"/>
      <c r="O21" s="47">
        <f t="shared" si="0"/>
        <v>2211.92</v>
      </c>
      <c r="P21" s="9"/>
      <c r="Q21" s="9"/>
      <c r="R21" s="9"/>
      <c r="S21" s="9"/>
      <c r="T21" s="9">
        <f>SUM(P21:Q21:R21:S21)</f>
        <v>0</v>
      </c>
      <c r="U21" s="47">
        <f t="shared" si="1"/>
        <v>2211.92</v>
      </c>
    </row>
    <row r="22" spans="1:21" x14ac:dyDescent="0.25">
      <c r="A22" s="6" t="s">
        <v>33</v>
      </c>
      <c r="B22" s="7" t="s">
        <v>72</v>
      </c>
      <c r="C22" s="7" t="s">
        <v>100</v>
      </c>
      <c r="D22" s="19">
        <v>1308.92</v>
      </c>
      <c r="E22" s="9"/>
      <c r="F22" s="9"/>
      <c r="G22" s="9"/>
      <c r="H22" s="9">
        <v>630</v>
      </c>
      <c r="I22" s="9">
        <v>0</v>
      </c>
      <c r="J22" s="9">
        <v>172.2</v>
      </c>
      <c r="K22" s="28">
        <f>SUM(H22:I22:J22)</f>
        <v>802.2</v>
      </c>
      <c r="L22" s="9"/>
      <c r="M22" s="9"/>
      <c r="N22" s="9"/>
      <c r="O22" s="47">
        <f t="shared" si="0"/>
        <v>2111.12</v>
      </c>
      <c r="P22" s="9"/>
      <c r="Q22" s="9"/>
      <c r="R22" s="9"/>
      <c r="S22" s="9"/>
      <c r="T22" s="9">
        <f>SUM(P22:Q22:R22:S22)</f>
        <v>0</v>
      </c>
      <c r="U22" s="47">
        <f t="shared" si="1"/>
        <v>2111.12</v>
      </c>
    </row>
    <row r="23" spans="1:21" x14ac:dyDescent="0.25">
      <c r="A23" s="6" t="s">
        <v>34</v>
      </c>
      <c r="B23" s="16" t="s">
        <v>79</v>
      </c>
      <c r="C23" s="7" t="s">
        <v>96</v>
      </c>
      <c r="D23" s="19">
        <v>12339.48</v>
      </c>
      <c r="E23" s="9"/>
      <c r="F23" s="9"/>
      <c r="G23" s="9"/>
      <c r="H23" s="9">
        <v>630</v>
      </c>
      <c r="I23" s="9">
        <v>0</v>
      </c>
      <c r="J23" s="43">
        <v>273</v>
      </c>
      <c r="K23" s="28">
        <f>SUM(H23:I23:J23)</f>
        <v>903</v>
      </c>
      <c r="L23" s="9"/>
      <c r="M23" s="19"/>
      <c r="N23" s="9"/>
      <c r="O23" s="47">
        <f t="shared" si="0"/>
        <v>13242.48</v>
      </c>
      <c r="P23" s="9">
        <v>2367.0100000000002</v>
      </c>
      <c r="Q23" s="9">
        <v>570.88</v>
      </c>
      <c r="R23" s="9"/>
      <c r="S23" s="9">
        <v>273</v>
      </c>
      <c r="T23" s="9">
        <f>SUM(P23:Q23:R23:S23)</f>
        <v>3210.8900000000003</v>
      </c>
      <c r="U23" s="47">
        <f t="shared" si="1"/>
        <v>10031.59</v>
      </c>
    </row>
    <row r="24" spans="1:21" x14ac:dyDescent="0.25">
      <c r="A24" s="6" t="s">
        <v>35</v>
      </c>
      <c r="B24" s="7" t="s">
        <v>80</v>
      </c>
      <c r="C24" s="7" t="s">
        <v>101</v>
      </c>
      <c r="D24" s="19">
        <v>3517.98</v>
      </c>
      <c r="E24" s="9"/>
      <c r="F24" s="9"/>
      <c r="G24" s="9">
        <v>67.209999999999994</v>
      </c>
      <c r="H24" s="9">
        <v>630</v>
      </c>
      <c r="I24" s="9">
        <v>0</v>
      </c>
      <c r="J24" s="9">
        <v>0</v>
      </c>
      <c r="K24" s="28">
        <f>SUM(H24:I24:J24)</f>
        <v>630</v>
      </c>
      <c r="L24" s="9"/>
      <c r="M24" s="9"/>
      <c r="N24" s="9"/>
      <c r="O24" s="47">
        <f t="shared" si="0"/>
        <v>4215.1900000000005</v>
      </c>
      <c r="P24" s="9">
        <v>122.45</v>
      </c>
      <c r="Q24" s="9">
        <v>393.24</v>
      </c>
      <c r="R24" s="9">
        <v>10.26</v>
      </c>
      <c r="S24" s="9"/>
      <c r="T24" s="9">
        <f>SUM(P24:Q24:R24:S24)</f>
        <v>525.95000000000005</v>
      </c>
      <c r="U24" s="47">
        <f t="shared" si="1"/>
        <v>3689.2400000000007</v>
      </c>
    </row>
    <row r="25" spans="1:21" x14ac:dyDescent="0.25">
      <c r="A25" s="6" t="s">
        <v>36</v>
      </c>
      <c r="B25" s="7" t="s">
        <v>68</v>
      </c>
      <c r="C25" s="7" t="s">
        <v>92</v>
      </c>
      <c r="D25" s="19">
        <v>820.86</v>
      </c>
      <c r="E25" s="9">
        <v>2697.12</v>
      </c>
      <c r="F25" s="9"/>
      <c r="G25" s="9">
        <v>12.16</v>
      </c>
      <c r="H25" s="9">
        <v>120</v>
      </c>
      <c r="I25" s="9">
        <v>0</v>
      </c>
      <c r="J25" s="9">
        <v>16.399999999999999</v>
      </c>
      <c r="K25" s="28">
        <f>SUM(H25:I25:J25)</f>
        <v>136.4</v>
      </c>
      <c r="L25" s="9">
        <v>899.04</v>
      </c>
      <c r="M25" s="9"/>
      <c r="N25" s="9"/>
      <c r="O25" s="47">
        <f t="shared" si="0"/>
        <v>4565.58</v>
      </c>
      <c r="P25" s="9"/>
      <c r="Q25" s="9">
        <v>472.97</v>
      </c>
      <c r="R25" s="9">
        <v>117.27</v>
      </c>
      <c r="S25" s="9"/>
      <c r="T25" s="9">
        <f>SUM(P25:Q25:R25:S25)</f>
        <v>590.24</v>
      </c>
      <c r="U25" s="47">
        <f t="shared" si="1"/>
        <v>3975.34</v>
      </c>
    </row>
    <row r="26" spans="1:21" x14ac:dyDescent="0.25">
      <c r="A26" s="6" t="s">
        <v>37</v>
      </c>
      <c r="B26" s="7" t="s">
        <v>77</v>
      </c>
      <c r="C26" s="7" t="s">
        <v>96</v>
      </c>
      <c r="D26" s="19">
        <v>8046.12</v>
      </c>
      <c r="E26" s="9"/>
      <c r="F26" s="9"/>
      <c r="G26" s="9"/>
      <c r="H26" s="9">
        <v>630</v>
      </c>
      <c r="I26" s="9">
        <v>0</v>
      </c>
      <c r="J26" s="43">
        <v>0</v>
      </c>
      <c r="K26" s="28">
        <f>SUM(H26:I26:J26)</f>
        <v>630</v>
      </c>
      <c r="L26" s="9"/>
      <c r="M26" s="9"/>
      <c r="N26" s="9"/>
      <c r="O26" s="47">
        <f t="shared" si="0"/>
        <v>8676.119999999999</v>
      </c>
      <c r="P26" s="9">
        <v>570.88</v>
      </c>
      <c r="Q26" s="9">
        <v>1186.33</v>
      </c>
      <c r="R26" s="9"/>
      <c r="S26" s="9"/>
      <c r="T26" s="9">
        <f>SUM(P26:Q26:R26:S26)</f>
        <v>1757.21</v>
      </c>
      <c r="U26" s="47">
        <f t="shared" si="1"/>
        <v>6918.9099999999989</v>
      </c>
    </row>
    <row r="27" spans="1:21" x14ac:dyDescent="0.25">
      <c r="A27" s="6" t="s">
        <v>133</v>
      </c>
      <c r="B27" s="17" t="s">
        <v>72</v>
      </c>
      <c r="C27" s="7" t="s">
        <v>106</v>
      </c>
      <c r="D27" s="19">
        <v>1308.92</v>
      </c>
      <c r="E27" s="9"/>
      <c r="F27" s="9"/>
      <c r="G27" s="9"/>
      <c r="H27" s="9">
        <v>840</v>
      </c>
      <c r="I27" s="9">
        <v>0</v>
      </c>
      <c r="J27" s="9">
        <v>364</v>
      </c>
      <c r="K27" s="28">
        <f>SUM(H27:I27:J27)</f>
        <v>1204</v>
      </c>
      <c r="L27" s="9"/>
      <c r="M27" s="9"/>
      <c r="N27" s="9"/>
      <c r="O27" s="47">
        <f t="shared" si="0"/>
        <v>2512.92</v>
      </c>
      <c r="P27" s="9"/>
      <c r="Q27" s="9"/>
      <c r="R27" s="9"/>
      <c r="S27" s="9"/>
      <c r="T27" s="9">
        <f>SUM(P27:Q27:R27:S27)</f>
        <v>0</v>
      </c>
      <c r="U27" s="47">
        <f t="shared" si="1"/>
        <v>2512.92</v>
      </c>
    </row>
    <row r="28" spans="1:21" x14ac:dyDescent="0.25">
      <c r="A28" s="6" t="s">
        <v>38</v>
      </c>
      <c r="B28" s="17" t="s">
        <v>81</v>
      </c>
      <c r="C28" s="7" t="s">
        <v>98</v>
      </c>
      <c r="D28" s="19">
        <v>4754.09</v>
      </c>
      <c r="E28" s="9">
        <v>2037.46</v>
      </c>
      <c r="F28" s="9"/>
      <c r="G28" s="9"/>
      <c r="H28" s="9">
        <v>240</v>
      </c>
      <c r="I28" s="9">
        <v>0</v>
      </c>
      <c r="J28" s="9">
        <v>65.599999999999994</v>
      </c>
      <c r="K28" s="28">
        <f>SUM(H28:I28:J28)</f>
        <v>305.60000000000002</v>
      </c>
      <c r="L28" s="9">
        <v>679.15</v>
      </c>
      <c r="M28" s="9"/>
      <c r="N28" s="9"/>
      <c r="O28" s="47">
        <f t="shared" si="0"/>
        <v>7776.3</v>
      </c>
      <c r="P28" s="9">
        <v>366.3</v>
      </c>
      <c r="Q28" s="9">
        <v>570.88</v>
      </c>
      <c r="R28" s="9"/>
      <c r="S28" s="9">
        <v>65.599999999999994</v>
      </c>
      <c r="T28" s="9">
        <f>SUM(P28:Q28:R28:S28)</f>
        <v>1002.7800000000001</v>
      </c>
      <c r="U28" s="47">
        <f t="shared" si="1"/>
        <v>6773.52</v>
      </c>
    </row>
    <row r="29" spans="1:21" x14ac:dyDescent="0.25">
      <c r="A29" s="13" t="s">
        <v>40</v>
      </c>
      <c r="B29" s="15" t="s">
        <v>69</v>
      </c>
      <c r="C29" s="7" t="s">
        <v>100</v>
      </c>
      <c r="D29" s="19">
        <v>3517.98</v>
      </c>
      <c r="E29" s="9"/>
      <c r="F29" s="9"/>
      <c r="G29" s="9"/>
      <c r="H29" s="9">
        <v>630</v>
      </c>
      <c r="I29" s="9">
        <v>0</v>
      </c>
      <c r="J29" s="9">
        <v>273</v>
      </c>
      <c r="K29" s="28">
        <f>SUM(H29:I29:J29)</f>
        <v>903</v>
      </c>
      <c r="L29" s="9"/>
      <c r="M29" s="9"/>
      <c r="N29" s="9"/>
      <c r="O29" s="47">
        <f t="shared" si="0"/>
        <v>4420.9799999999996</v>
      </c>
      <c r="P29" s="9">
        <v>114.85</v>
      </c>
      <c r="Q29" s="9">
        <v>386.98</v>
      </c>
      <c r="R29" s="9"/>
      <c r="S29" s="9">
        <v>147.76</v>
      </c>
      <c r="T29" s="9">
        <f>SUM(P29:Q29:R29:S29)</f>
        <v>649.59</v>
      </c>
      <c r="U29" s="47">
        <f t="shared" si="1"/>
        <v>3771.3899999999994</v>
      </c>
    </row>
    <row r="30" spans="1:21" x14ac:dyDescent="0.25">
      <c r="A30" s="6" t="s">
        <v>41</v>
      </c>
      <c r="B30" s="7" t="s">
        <v>77</v>
      </c>
      <c r="C30" s="7" t="s">
        <v>96</v>
      </c>
      <c r="D30" s="19">
        <v>1757.21</v>
      </c>
      <c r="E30" s="9"/>
      <c r="F30" s="9"/>
      <c r="G30" s="9"/>
      <c r="H30" s="9">
        <v>630</v>
      </c>
      <c r="I30" s="9">
        <v>0</v>
      </c>
      <c r="J30" s="43">
        <v>0</v>
      </c>
      <c r="K30" s="28">
        <f>SUM(H30:I30:J30)</f>
        <v>630</v>
      </c>
      <c r="L30" s="9"/>
      <c r="M30" s="9"/>
      <c r="N30" s="9"/>
      <c r="O30" s="47">
        <f t="shared" si="0"/>
        <v>2387.21</v>
      </c>
      <c r="P30" s="9">
        <v>1186.33</v>
      </c>
      <c r="Q30" s="9">
        <v>570.88</v>
      </c>
      <c r="R30" s="9"/>
      <c r="S30" s="9"/>
      <c r="T30" s="9">
        <f>SUM(P30:Q30:R30:S30)</f>
        <v>1757.21</v>
      </c>
      <c r="U30" s="47">
        <f t="shared" si="1"/>
        <v>630</v>
      </c>
    </row>
    <row r="31" spans="1:21" x14ac:dyDescent="0.25">
      <c r="A31" s="6" t="s">
        <v>42</v>
      </c>
      <c r="B31" s="7" t="s">
        <v>69</v>
      </c>
      <c r="C31" s="7" t="s">
        <v>100</v>
      </c>
      <c r="D31" s="19">
        <v>3283.45</v>
      </c>
      <c r="E31" s="9">
        <v>234.53</v>
      </c>
      <c r="F31" s="9"/>
      <c r="G31" s="9"/>
      <c r="H31" s="9">
        <v>570</v>
      </c>
      <c r="I31" s="9">
        <v>250</v>
      </c>
      <c r="J31" s="9">
        <v>247</v>
      </c>
      <c r="K31" s="28">
        <f>SUM(H31:I31:J31)</f>
        <v>1067</v>
      </c>
      <c r="L31" s="9">
        <v>78.180000000000007</v>
      </c>
      <c r="M31" s="9"/>
      <c r="N31" s="9"/>
      <c r="O31" s="47">
        <f t="shared" si="0"/>
        <v>4663.16</v>
      </c>
      <c r="P31" s="9">
        <v>82.13</v>
      </c>
      <c r="Q31" s="9">
        <v>395.58</v>
      </c>
      <c r="R31" s="9"/>
      <c r="S31" s="9">
        <v>133.68</v>
      </c>
      <c r="T31" s="9">
        <f>SUM(P31:Q31:R31:S31)</f>
        <v>611.39</v>
      </c>
      <c r="U31" s="47">
        <f t="shared" si="1"/>
        <v>4051.77</v>
      </c>
    </row>
    <row r="32" spans="1:21" x14ac:dyDescent="0.25">
      <c r="A32" s="6" t="s">
        <v>43</v>
      </c>
      <c r="B32" s="7" t="s">
        <v>76</v>
      </c>
      <c r="C32" s="7" t="s">
        <v>97</v>
      </c>
      <c r="D32" s="19">
        <v>8046.12</v>
      </c>
      <c r="E32" s="12"/>
      <c r="F32" s="9"/>
      <c r="G32" s="9"/>
      <c r="H32" s="9">
        <v>630</v>
      </c>
      <c r="I32" s="9">
        <v>0</v>
      </c>
      <c r="J32" s="9">
        <v>172.2</v>
      </c>
      <c r="K32" s="28">
        <f>SUM(H32:I32:J32)</f>
        <v>802.2</v>
      </c>
      <c r="L32" s="9"/>
      <c r="M32" s="9"/>
      <c r="N32" s="9"/>
      <c r="O32" s="47">
        <f t="shared" si="0"/>
        <v>8848.32</v>
      </c>
      <c r="P32" s="9">
        <v>1184.8599999999999</v>
      </c>
      <c r="Q32" s="9">
        <v>570.88</v>
      </c>
      <c r="R32" s="9">
        <v>5.36</v>
      </c>
      <c r="S32" s="9">
        <v>172.2</v>
      </c>
      <c r="T32" s="9">
        <f>SUM(P32:Q32:R32:S32)</f>
        <v>1933.2999999999997</v>
      </c>
      <c r="U32" s="47">
        <f t="shared" si="1"/>
        <v>6915.02</v>
      </c>
    </row>
    <row r="33" spans="1:21" x14ac:dyDescent="0.25">
      <c r="A33" s="7" t="s">
        <v>44</v>
      </c>
      <c r="B33" s="7" t="s">
        <v>69</v>
      </c>
      <c r="C33" s="7" t="s">
        <v>100</v>
      </c>
      <c r="D33" s="19">
        <v>3517.98</v>
      </c>
      <c r="E33" s="9"/>
      <c r="F33" s="9"/>
      <c r="G33" s="9"/>
      <c r="H33" s="9">
        <v>630</v>
      </c>
      <c r="I33" s="9">
        <v>0</v>
      </c>
      <c r="J33" s="9">
        <v>438.9</v>
      </c>
      <c r="K33" s="28">
        <f>SUM(H33:I33:J33)</f>
        <v>1068.9000000000001</v>
      </c>
      <c r="L33" s="9"/>
      <c r="M33" s="9"/>
      <c r="N33" s="9"/>
      <c r="O33" s="47">
        <f t="shared" si="0"/>
        <v>4586.88</v>
      </c>
      <c r="P33" s="9">
        <v>114.85</v>
      </c>
      <c r="Q33" s="9">
        <v>386.98</v>
      </c>
      <c r="R33" s="9"/>
      <c r="S33" s="9">
        <v>147.76</v>
      </c>
      <c r="T33" s="9">
        <f>SUM(P33:Q33:R33:S33)</f>
        <v>649.59</v>
      </c>
      <c r="U33" s="47">
        <f t="shared" si="1"/>
        <v>3937.29</v>
      </c>
    </row>
    <row r="34" spans="1:21" x14ac:dyDescent="0.25">
      <c r="A34" s="7" t="s">
        <v>45</v>
      </c>
      <c r="B34" s="7" t="s">
        <v>82</v>
      </c>
      <c r="C34" s="7" t="s">
        <v>97</v>
      </c>
      <c r="D34" s="19">
        <v>12339.48</v>
      </c>
      <c r="E34" s="9"/>
      <c r="F34" s="9"/>
      <c r="G34" s="9"/>
      <c r="H34" s="9">
        <v>630</v>
      </c>
      <c r="I34" s="9">
        <v>250</v>
      </c>
      <c r="J34" s="9">
        <v>1115.52</v>
      </c>
      <c r="K34" s="28">
        <f>SUM(H34:I34:J34)</f>
        <v>1995.52</v>
      </c>
      <c r="L34" s="9"/>
      <c r="M34" s="9"/>
      <c r="N34" s="9"/>
      <c r="O34" s="47">
        <f t="shared" si="0"/>
        <v>14335</v>
      </c>
      <c r="P34" s="9">
        <v>2367.0100000000002</v>
      </c>
      <c r="Q34" s="9">
        <v>570.88</v>
      </c>
      <c r="R34" s="9"/>
      <c r="S34" s="9">
        <v>518.26</v>
      </c>
      <c r="T34" s="9">
        <f>SUM(P34:Q34:R34:S34)</f>
        <v>3456.1500000000005</v>
      </c>
      <c r="U34" s="47">
        <f t="shared" si="1"/>
        <v>10878.849999999999</v>
      </c>
    </row>
    <row r="35" spans="1:21" x14ac:dyDescent="0.25">
      <c r="A35" s="7" t="s">
        <v>46</v>
      </c>
      <c r="B35" s="7" t="s">
        <v>83</v>
      </c>
      <c r="C35" s="7" t="s">
        <v>94</v>
      </c>
      <c r="D35" s="19">
        <v>3517.98</v>
      </c>
      <c r="E35" s="9"/>
      <c r="F35" s="9"/>
      <c r="G35" s="9"/>
      <c r="H35" s="9">
        <v>630</v>
      </c>
      <c r="I35" s="9">
        <v>0</v>
      </c>
      <c r="J35" s="9">
        <v>273</v>
      </c>
      <c r="K35" s="28">
        <f>SUM(H35:I35:J35)</f>
        <v>903</v>
      </c>
      <c r="L35" s="9"/>
      <c r="M35" s="9"/>
      <c r="N35" s="9"/>
      <c r="O35" s="47">
        <f t="shared" si="0"/>
        <v>4420.9799999999996</v>
      </c>
      <c r="P35" s="9">
        <v>106.44</v>
      </c>
      <c r="Q35" s="9">
        <v>380.04</v>
      </c>
      <c r="R35" s="9">
        <v>63.03</v>
      </c>
      <c r="S35" s="9">
        <v>147.76</v>
      </c>
      <c r="T35" s="9">
        <f>SUM(P35:Q35:R35:S35)</f>
        <v>697.27</v>
      </c>
      <c r="U35" s="47">
        <f t="shared" si="1"/>
        <v>3723.7099999999996</v>
      </c>
    </row>
    <row r="36" spans="1:21" x14ac:dyDescent="0.25">
      <c r="A36" s="7" t="s">
        <v>47</v>
      </c>
      <c r="B36" s="7" t="s">
        <v>84</v>
      </c>
      <c r="C36" s="7" t="s">
        <v>95</v>
      </c>
      <c r="D36" s="19">
        <v>12339.48</v>
      </c>
      <c r="E36" s="9"/>
      <c r="F36" s="9"/>
      <c r="G36" s="9"/>
      <c r="H36" s="9">
        <v>630</v>
      </c>
      <c r="I36" s="9">
        <v>0</v>
      </c>
      <c r="J36" s="9">
        <v>159.6</v>
      </c>
      <c r="K36" s="28">
        <f>SUM(H36:I36:J36)</f>
        <v>789.6</v>
      </c>
      <c r="L36" s="9"/>
      <c r="M36" s="9"/>
      <c r="N36" s="9"/>
      <c r="O36" s="47">
        <f t="shared" si="0"/>
        <v>13129.08</v>
      </c>
      <c r="P36" s="9">
        <v>2367.0100000000002</v>
      </c>
      <c r="Q36" s="9">
        <v>570.88</v>
      </c>
      <c r="R36" s="9"/>
      <c r="S36" s="9">
        <v>159.6</v>
      </c>
      <c r="T36" s="9">
        <f>SUM(P36:Q36:R36:S36)</f>
        <v>3097.4900000000002</v>
      </c>
      <c r="U36" s="47">
        <f t="shared" si="1"/>
        <v>10031.59</v>
      </c>
    </row>
    <row r="37" spans="1:21" x14ac:dyDescent="0.25">
      <c r="A37" s="7" t="s">
        <v>119</v>
      </c>
      <c r="B37" s="7" t="s">
        <v>72</v>
      </c>
      <c r="C37" s="7" t="s">
        <v>102</v>
      </c>
      <c r="D37" s="19">
        <v>1308.92</v>
      </c>
      <c r="E37" s="9"/>
      <c r="F37" s="9"/>
      <c r="G37" s="9"/>
      <c r="H37" s="9">
        <v>420</v>
      </c>
      <c r="I37" s="9">
        <v>0</v>
      </c>
      <c r="J37" s="19">
        <v>106.4</v>
      </c>
      <c r="K37" s="28">
        <f>SUM(H37:I37:J37)</f>
        <v>526.4</v>
      </c>
      <c r="L37" s="9"/>
      <c r="M37" s="9"/>
      <c r="N37" s="9"/>
      <c r="O37" s="47">
        <f t="shared" si="0"/>
        <v>1835.3200000000002</v>
      </c>
      <c r="P37" s="9"/>
      <c r="Q37" s="9"/>
      <c r="R37" s="9"/>
      <c r="S37" s="9"/>
      <c r="T37" s="9">
        <f>SUM(P37:Q37:R37:S37)</f>
        <v>0</v>
      </c>
      <c r="U37" s="47">
        <f t="shared" si="1"/>
        <v>1835.3200000000002</v>
      </c>
    </row>
    <row r="38" spans="1:21" x14ac:dyDescent="0.25">
      <c r="A38" s="7" t="s">
        <v>48</v>
      </c>
      <c r="B38" s="7" t="s">
        <v>85</v>
      </c>
      <c r="C38" s="7" t="s">
        <v>102</v>
      </c>
      <c r="D38" s="19">
        <v>9395.69</v>
      </c>
      <c r="E38" s="9"/>
      <c r="F38" s="9"/>
      <c r="G38" s="9"/>
      <c r="H38" s="9">
        <v>630</v>
      </c>
      <c r="I38" s="9">
        <v>0</v>
      </c>
      <c r="J38" s="9">
        <v>0</v>
      </c>
      <c r="K38" s="28">
        <f>SUM(H38:I38:J38)</f>
        <v>630</v>
      </c>
      <c r="L38" s="9"/>
      <c r="M38" s="9"/>
      <c r="N38" s="9"/>
      <c r="O38" s="47">
        <f t="shared" si="0"/>
        <v>10025.69</v>
      </c>
      <c r="P38" s="9">
        <v>1557.46</v>
      </c>
      <c r="Q38" s="9">
        <v>570.88</v>
      </c>
      <c r="R38" s="9"/>
      <c r="S38" s="9"/>
      <c r="T38" s="9">
        <f>SUM(P38:Q38:R38:S38)</f>
        <v>2128.34</v>
      </c>
      <c r="U38" s="47">
        <f t="shared" si="1"/>
        <v>7897.35</v>
      </c>
    </row>
    <row r="39" spans="1:21" x14ac:dyDescent="0.25">
      <c r="A39" s="7" t="s">
        <v>49</v>
      </c>
      <c r="B39" s="7" t="s">
        <v>86</v>
      </c>
      <c r="C39" s="7" t="s">
        <v>102</v>
      </c>
      <c r="D39" s="19">
        <v>6791.55</v>
      </c>
      <c r="E39" s="9"/>
      <c r="F39" s="9"/>
      <c r="G39" s="9">
        <v>155.49</v>
      </c>
      <c r="H39" s="9">
        <v>630</v>
      </c>
      <c r="I39" s="9">
        <v>0</v>
      </c>
      <c r="J39" s="9">
        <v>172.2</v>
      </c>
      <c r="K39" s="28">
        <f>SUM(H39:I39:J39)</f>
        <v>802.2</v>
      </c>
      <c r="L39" s="9"/>
      <c r="M39" s="9"/>
      <c r="N39" s="9"/>
      <c r="O39" s="47">
        <f t="shared" si="0"/>
        <v>7749.24</v>
      </c>
      <c r="P39" s="9">
        <v>858.72</v>
      </c>
      <c r="Q39" s="19">
        <v>570.88</v>
      </c>
      <c r="R39" s="9">
        <v>92.25</v>
      </c>
      <c r="S39" s="9">
        <v>172.2</v>
      </c>
      <c r="T39" s="9">
        <f>SUM(P39:Q39:R39:S39)</f>
        <v>1694.05</v>
      </c>
      <c r="U39" s="47">
        <f t="shared" si="1"/>
        <v>6055.19</v>
      </c>
    </row>
    <row r="40" spans="1:21" x14ac:dyDescent="0.25">
      <c r="A40" s="7" t="s">
        <v>50</v>
      </c>
      <c r="B40" s="7" t="s">
        <v>80</v>
      </c>
      <c r="C40" s="7" t="s">
        <v>101</v>
      </c>
      <c r="D40" s="19">
        <v>3517.98</v>
      </c>
      <c r="E40" s="9"/>
      <c r="F40" s="9"/>
      <c r="G40" s="9">
        <v>33.86</v>
      </c>
      <c r="H40" s="9">
        <v>630</v>
      </c>
      <c r="I40" s="9">
        <v>0</v>
      </c>
      <c r="J40" s="9">
        <v>212.1</v>
      </c>
      <c r="K40" s="28">
        <f>SUM(H40:I40:J40)</f>
        <v>842.1</v>
      </c>
      <c r="L40" s="9"/>
      <c r="M40" s="9"/>
      <c r="N40" s="9"/>
      <c r="O40" s="47">
        <f t="shared" si="0"/>
        <v>4393.9400000000005</v>
      </c>
      <c r="P40" s="9">
        <v>119.37</v>
      </c>
      <c r="Q40" s="9">
        <v>390.7</v>
      </c>
      <c r="R40" s="9"/>
      <c r="S40" s="9">
        <v>147.76</v>
      </c>
      <c r="T40" s="9">
        <f>SUM(P40:Q40:R40:S40)</f>
        <v>657.82999999999993</v>
      </c>
      <c r="U40" s="47">
        <f t="shared" si="1"/>
        <v>3736.1100000000006</v>
      </c>
    </row>
    <row r="41" spans="1:21" x14ac:dyDescent="0.25">
      <c r="A41" s="6" t="s">
        <v>51</v>
      </c>
      <c r="B41" s="7" t="s">
        <v>68</v>
      </c>
      <c r="C41" s="7" t="s">
        <v>92</v>
      </c>
      <c r="D41" s="19">
        <v>3517.98</v>
      </c>
      <c r="E41" s="9"/>
      <c r="F41" s="9"/>
      <c r="G41" s="9"/>
      <c r="H41" s="9">
        <v>630</v>
      </c>
      <c r="I41" s="9">
        <v>0</v>
      </c>
      <c r="J41" s="9">
        <v>273</v>
      </c>
      <c r="K41" s="28">
        <f>SUM(H41:I41:J41)</f>
        <v>903</v>
      </c>
      <c r="L41" s="12"/>
      <c r="M41" s="9"/>
      <c r="N41" s="9"/>
      <c r="O41" s="47">
        <f t="shared" si="0"/>
        <v>4420.9799999999996</v>
      </c>
      <c r="P41" s="9">
        <v>110.51</v>
      </c>
      <c r="Q41" s="9">
        <v>383.4</v>
      </c>
      <c r="R41" s="9">
        <v>67.72</v>
      </c>
      <c r="S41" s="9">
        <v>147.76</v>
      </c>
      <c r="T41" s="9">
        <f>SUM(P41:Q41:R41:S41)</f>
        <v>709.39</v>
      </c>
      <c r="U41" s="47">
        <f t="shared" si="1"/>
        <v>3711.5899999999997</v>
      </c>
    </row>
    <row r="42" spans="1:21" x14ac:dyDescent="0.25">
      <c r="A42" s="7" t="s">
        <v>53</v>
      </c>
      <c r="B42" s="7" t="s">
        <v>68</v>
      </c>
      <c r="C42" s="7" t="s">
        <v>92</v>
      </c>
      <c r="D42" s="19">
        <v>3517.98</v>
      </c>
      <c r="E42" s="9"/>
      <c r="F42" s="9"/>
      <c r="G42" s="9"/>
      <c r="H42" s="9">
        <v>630</v>
      </c>
      <c r="I42" s="9">
        <v>0</v>
      </c>
      <c r="J42" s="9">
        <v>164</v>
      </c>
      <c r="K42" s="28">
        <f>SUM(H42:I42:J42)</f>
        <v>794</v>
      </c>
      <c r="L42" s="9"/>
      <c r="M42" s="9"/>
      <c r="N42" s="9"/>
      <c r="O42" s="47">
        <f t="shared" si="0"/>
        <v>4311.9799999999996</v>
      </c>
      <c r="P42" s="9">
        <v>114.85</v>
      </c>
      <c r="Q42" s="9">
        <v>386.98</v>
      </c>
      <c r="R42" s="9">
        <v>35.18</v>
      </c>
      <c r="S42" s="9">
        <v>147.76</v>
      </c>
      <c r="T42" s="9">
        <f>SUM(P42:Q42:R42:S42)</f>
        <v>684.77</v>
      </c>
      <c r="U42" s="47">
        <f t="shared" si="1"/>
        <v>3627.2099999999996</v>
      </c>
    </row>
    <row r="43" spans="1:21" x14ac:dyDescent="0.25">
      <c r="A43" s="7" t="s">
        <v>54</v>
      </c>
      <c r="B43" s="7" t="s">
        <v>76</v>
      </c>
      <c r="C43" s="7" t="s">
        <v>97</v>
      </c>
      <c r="D43" s="19">
        <v>8046.12</v>
      </c>
      <c r="E43" s="9"/>
      <c r="F43" s="9"/>
      <c r="G43" s="9">
        <v>87.17</v>
      </c>
      <c r="H43" s="9">
        <v>630</v>
      </c>
      <c r="I43" s="9">
        <v>250</v>
      </c>
      <c r="J43" s="19">
        <v>0</v>
      </c>
      <c r="K43" s="28">
        <f>SUM(H43:I43:J43)</f>
        <v>880</v>
      </c>
      <c r="L43" s="9"/>
      <c r="M43" s="9"/>
      <c r="N43" s="9"/>
      <c r="O43" s="47">
        <f t="shared" si="0"/>
        <v>9013.2900000000009</v>
      </c>
      <c r="P43" s="9">
        <v>1158.17</v>
      </c>
      <c r="Q43" s="9">
        <v>570.88</v>
      </c>
      <c r="R43" s="9"/>
      <c r="S43" s="19"/>
      <c r="T43" s="9">
        <f>SUM(P43:Q43:R43:S43)</f>
        <v>1729.0500000000002</v>
      </c>
      <c r="U43" s="47">
        <f t="shared" si="1"/>
        <v>7284.2400000000007</v>
      </c>
    </row>
    <row r="44" spans="1:21" x14ac:dyDescent="0.25">
      <c r="A44" s="6" t="s">
        <v>55</v>
      </c>
      <c r="B44" s="7" t="s">
        <v>76</v>
      </c>
      <c r="C44" s="7" t="s">
        <v>97</v>
      </c>
      <c r="D44" s="19">
        <v>4291.26</v>
      </c>
      <c r="E44" s="9">
        <v>3754.86</v>
      </c>
      <c r="F44" s="9"/>
      <c r="G44" s="9"/>
      <c r="H44" s="9">
        <v>330</v>
      </c>
      <c r="I44" s="9">
        <v>0</v>
      </c>
      <c r="J44" s="9">
        <v>0</v>
      </c>
      <c r="K44" s="28">
        <f>SUM(H44:I44:J44)</f>
        <v>330</v>
      </c>
      <c r="L44" s="9">
        <v>1251.6199999999999</v>
      </c>
      <c r="M44" s="9"/>
      <c r="N44" s="9"/>
      <c r="O44" s="47">
        <f t="shared" si="0"/>
        <v>9627.7400000000016</v>
      </c>
      <c r="P44" s="9">
        <v>691.29</v>
      </c>
      <c r="Q44" s="9">
        <v>570.88</v>
      </c>
      <c r="R44" s="9"/>
      <c r="S44" s="9"/>
      <c r="T44" s="9">
        <f>SUM(P44:Q44:R44:S44)</f>
        <v>1262.17</v>
      </c>
      <c r="U44" s="47">
        <f t="shared" si="1"/>
        <v>8365.5700000000015</v>
      </c>
    </row>
    <row r="45" spans="1:21" x14ac:dyDescent="0.25">
      <c r="A45" s="6" t="s">
        <v>135</v>
      </c>
      <c r="B45" s="7" t="s">
        <v>72</v>
      </c>
      <c r="C45" s="7" t="s">
        <v>94</v>
      </c>
      <c r="D45" s="19"/>
      <c r="E45" s="9"/>
      <c r="F45" s="9"/>
      <c r="G45" s="9"/>
      <c r="H45" s="9">
        <v>630</v>
      </c>
      <c r="I45" s="9">
        <v>0</v>
      </c>
      <c r="J45" s="9">
        <v>143</v>
      </c>
      <c r="K45" s="28"/>
      <c r="L45" s="9"/>
      <c r="M45" s="9"/>
      <c r="N45" s="9"/>
      <c r="O45" s="47"/>
      <c r="P45" s="9"/>
      <c r="Q45" s="9"/>
      <c r="R45" s="9"/>
      <c r="S45" s="9"/>
      <c r="T45" s="9"/>
      <c r="U45" s="47"/>
    </row>
    <row r="46" spans="1:21" x14ac:dyDescent="0.25">
      <c r="A46" s="6" t="s">
        <v>57</v>
      </c>
      <c r="B46" s="7" t="s">
        <v>76</v>
      </c>
      <c r="C46" s="7" t="s">
        <v>96</v>
      </c>
      <c r="D46" s="19">
        <v>5632.28</v>
      </c>
      <c r="E46" s="9">
        <v>2413.83</v>
      </c>
      <c r="F46" s="9"/>
      <c r="G46" s="9">
        <v>4.55</v>
      </c>
      <c r="H46" s="9">
        <v>240</v>
      </c>
      <c r="I46" s="9">
        <v>0</v>
      </c>
      <c r="J46" s="43">
        <v>0</v>
      </c>
      <c r="K46" s="28">
        <f>SUM(H46:I46:J46)</f>
        <v>240</v>
      </c>
      <c r="L46" s="9">
        <v>812.16</v>
      </c>
      <c r="M46" s="9"/>
      <c r="N46" s="9"/>
      <c r="O46" s="47">
        <f t="shared" si="0"/>
        <v>9102.82</v>
      </c>
      <c r="P46" s="9">
        <v>581.25</v>
      </c>
      <c r="Q46" s="9">
        <v>357.35</v>
      </c>
      <c r="R46" s="9"/>
      <c r="S46" s="9"/>
      <c r="T46" s="9">
        <f>SUM(P46:Q46:R46:S46)</f>
        <v>938.6</v>
      </c>
      <c r="U46" s="47">
        <f t="shared" si="1"/>
        <v>8164.2199999999993</v>
      </c>
    </row>
    <row r="47" spans="1:21" x14ac:dyDescent="0.25">
      <c r="A47" s="6" t="s">
        <v>58</v>
      </c>
      <c r="B47" s="7" t="s">
        <v>68</v>
      </c>
      <c r="C47" s="7" t="s">
        <v>92</v>
      </c>
      <c r="D47" s="19">
        <v>3517.98</v>
      </c>
      <c r="E47" s="9"/>
      <c r="F47" s="9"/>
      <c r="G47" s="9"/>
      <c r="H47" s="9">
        <v>630</v>
      </c>
      <c r="I47" s="9">
        <v>0</v>
      </c>
      <c r="J47" s="9">
        <v>281.2</v>
      </c>
      <c r="K47" s="28">
        <f>SUM(H47:I47:J47)</f>
        <v>911.2</v>
      </c>
      <c r="L47" s="9"/>
      <c r="M47" s="9"/>
      <c r="N47" s="9"/>
      <c r="O47" s="47">
        <f t="shared" si="0"/>
        <v>4429.18</v>
      </c>
      <c r="P47" s="9">
        <v>63.59</v>
      </c>
      <c r="Q47" s="9">
        <v>386.98</v>
      </c>
      <c r="R47" s="9">
        <v>35.18</v>
      </c>
      <c r="S47" s="9">
        <v>147.76</v>
      </c>
      <c r="T47" s="9">
        <f>SUM(P47:Q47:R47:S47)</f>
        <v>633.51</v>
      </c>
      <c r="U47" s="47">
        <f t="shared" si="1"/>
        <v>3795.67</v>
      </c>
    </row>
    <row r="48" spans="1:21" x14ac:dyDescent="0.25">
      <c r="A48" s="6" t="s">
        <v>59</v>
      </c>
      <c r="B48" s="7" t="s">
        <v>76</v>
      </c>
      <c r="C48" s="7" t="s">
        <v>96</v>
      </c>
      <c r="D48" s="19">
        <v>6705.1</v>
      </c>
      <c r="E48" s="9">
        <v>1341.02</v>
      </c>
      <c r="F48" s="9"/>
      <c r="G48" s="9"/>
      <c r="H48" s="9">
        <v>480</v>
      </c>
      <c r="I48" s="9">
        <v>0</v>
      </c>
      <c r="J48" s="43">
        <v>131.19999999999999</v>
      </c>
      <c r="K48" s="28">
        <f>SUM(H48:I48:J48)</f>
        <v>611.20000000000005</v>
      </c>
      <c r="L48" s="9">
        <v>447.01</v>
      </c>
      <c r="M48" s="9"/>
      <c r="N48" s="9"/>
      <c r="O48" s="47">
        <f t="shared" si="0"/>
        <v>9104.3300000000017</v>
      </c>
      <c r="P48" s="9">
        <v>995.13</v>
      </c>
      <c r="Q48" s="9">
        <v>570.88</v>
      </c>
      <c r="R48" s="9"/>
      <c r="S48" s="9">
        <v>131.19999999999999</v>
      </c>
      <c r="T48" s="9">
        <f>SUM(P48:Q48:R48:S48)</f>
        <v>1697.21</v>
      </c>
      <c r="U48" s="47">
        <f t="shared" si="1"/>
        <v>7407.1200000000017</v>
      </c>
    </row>
    <row r="49" spans="1:21" x14ac:dyDescent="0.25">
      <c r="A49" s="6" t="s">
        <v>60</v>
      </c>
      <c r="B49" s="7" t="s">
        <v>87</v>
      </c>
      <c r="C49" s="7" t="s">
        <v>94</v>
      </c>
      <c r="D49" s="19">
        <v>6791.55</v>
      </c>
      <c r="E49" s="9"/>
      <c r="F49" s="9"/>
      <c r="G49" s="9"/>
      <c r="H49" s="9">
        <v>630</v>
      </c>
      <c r="I49" s="9">
        <v>0</v>
      </c>
      <c r="J49" s="9">
        <v>159.6</v>
      </c>
      <c r="K49" s="28">
        <f>SUM(H49:I49:J49)</f>
        <v>789.6</v>
      </c>
      <c r="L49" s="9"/>
      <c r="M49" s="9"/>
      <c r="N49" s="9"/>
      <c r="O49" s="47">
        <f t="shared" si="0"/>
        <v>7581.1500000000005</v>
      </c>
      <c r="P49" s="9">
        <v>841.32</v>
      </c>
      <c r="Q49" s="9">
        <v>570.88</v>
      </c>
      <c r="R49" s="9"/>
      <c r="S49" s="9">
        <v>159.6</v>
      </c>
      <c r="T49" s="9">
        <f>SUM(P49:Q49:R49:S49)</f>
        <v>1571.8</v>
      </c>
      <c r="U49" s="47">
        <f t="shared" si="1"/>
        <v>6009.35</v>
      </c>
    </row>
    <row r="50" spans="1:21" x14ac:dyDescent="0.25">
      <c r="A50" s="6" t="s">
        <v>61</v>
      </c>
      <c r="B50" s="7" t="s">
        <v>88</v>
      </c>
      <c r="C50" s="7" t="s">
        <v>93</v>
      </c>
      <c r="D50" s="19">
        <v>9395.69</v>
      </c>
      <c r="E50" s="9"/>
      <c r="F50" s="9"/>
      <c r="G50" s="9"/>
      <c r="H50" s="9">
        <v>630</v>
      </c>
      <c r="I50" s="9">
        <v>0</v>
      </c>
      <c r="J50" s="9">
        <v>172.2</v>
      </c>
      <c r="K50" s="28">
        <f>SUM(H50:I50:J50)</f>
        <v>802.2</v>
      </c>
      <c r="L50" s="9"/>
      <c r="M50" s="9"/>
      <c r="N50" s="9"/>
      <c r="O50" s="47">
        <f t="shared" si="0"/>
        <v>10197.890000000001</v>
      </c>
      <c r="P50" s="9">
        <v>1557.46</v>
      </c>
      <c r="Q50" s="9">
        <v>570.88</v>
      </c>
      <c r="R50" s="9"/>
      <c r="S50" s="9">
        <v>172.2</v>
      </c>
      <c r="T50" s="9">
        <f>SUM(P50:Q50:R50:S50)</f>
        <v>2300.54</v>
      </c>
      <c r="U50" s="47">
        <f t="shared" si="1"/>
        <v>7897.3500000000013</v>
      </c>
    </row>
    <row r="51" spans="1:21" x14ac:dyDescent="0.25">
      <c r="A51" s="7" t="s">
        <v>62</v>
      </c>
      <c r="B51" s="7" t="s">
        <v>83</v>
      </c>
      <c r="C51" s="7" t="s">
        <v>94</v>
      </c>
      <c r="D51" s="19">
        <v>3517.98</v>
      </c>
      <c r="E51" s="9"/>
      <c r="F51" s="9"/>
      <c r="G51" s="9"/>
      <c r="H51" s="9">
        <v>630</v>
      </c>
      <c r="I51" s="9">
        <v>0</v>
      </c>
      <c r="J51" s="9">
        <v>420</v>
      </c>
      <c r="K51" s="28">
        <f>SUM(H51:I51:J51)</f>
        <v>1050</v>
      </c>
      <c r="L51" s="9"/>
      <c r="M51" s="9"/>
      <c r="N51" s="9"/>
      <c r="O51" s="47">
        <f t="shared" si="0"/>
        <v>4567.9799999999996</v>
      </c>
      <c r="P51" s="9">
        <v>114.22</v>
      </c>
      <c r="Q51" s="9">
        <v>386.46</v>
      </c>
      <c r="R51" s="9">
        <v>39.869999999999997</v>
      </c>
      <c r="S51" s="9">
        <v>147.76</v>
      </c>
      <c r="T51" s="9">
        <f>SUM(P51:Q51:R51:S51)</f>
        <v>688.31</v>
      </c>
      <c r="U51" s="47">
        <f t="shared" si="1"/>
        <v>3879.6699999999996</v>
      </c>
    </row>
    <row r="52" spans="1:21" x14ac:dyDescent="0.25">
      <c r="A52" s="7" t="s">
        <v>63</v>
      </c>
      <c r="B52" s="7" t="s">
        <v>89</v>
      </c>
      <c r="C52" s="7" t="s">
        <v>98</v>
      </c>
      <c r="D52" s="19">
        <v>5659.63</v>
      </c>
      <c r="E52" s="9">
        <v>1131.93</v>
      </c>
      <c r="F52" s="9"/>
      <c r="G52" s="9"/>
      <c r="H52" s="9">
        <v>480</v>
      </c>
      <c r="I52" s="9">
        <v>0</v>
      </c>
      <c r="J52" s="9">
        <v>131.19999999999999</v>
      </c>
      <c r="K52" s="28">
        <f>SUM(H52:I52:J52)</f>
        <v>611.20000000000005</v>
      </c>
      <c r="L52" s="9">
        <v>377.31</v>
      </c>
      <c r="M52" s="9"/>
      <c r="N52" s="9"/>
      <c r="O52" s="47">
        <f t="shared" si="0"/>
        <v>7780.0700000000006</v>
      </c>
      <c r="P52" s="9">
        <v>843.98</v>
      </c>
      <c r="Q52" s="9">
        <v>570.88</v>
      </c>
      <c r="R52" s="9"/>
      <c r="S52" s="9">
        <v>131.19999999999999</v>
      </c>
      <c r="T52" s="9">
        <f>SUM(P52:Q52:R52:S52)</f>
        <v>1546.0600000000002</v>
      </c>
      <c r="U52" s="47">
        <f t="shared" si="1"/>
        <v>6234.01</v>
      </c>
    </row>
    <row r="53" spans="1:21" x14ac:dyDescent="0.25">
      <c r="A53" s="13" t="s">
        <v>129</v>
      </c>
      <c r="B53" s="15" t="s">
        <v>72</v>
      </c>
      <c r="C53" s="7" t="s">
        <v>106</v>
      </c>
      <c r="D53" s="41">
        <v>1308.92</v>
      </c>
      <c r="E53" s="9"/>
      <c r="F53" s="9"/>
      <c r="G53" s="9"/>
      <c r="H53" s="9">
        <v>630</v>
      </c>
      <c r="I53" s="9">
        <v>0</v>
      </c>
      <c r="J53" s="43">
        <v>273</v>
      </c>
      <c r="K53" s="28">
        <f>SUM(H53:I53:J53)</f>
        <v>903</v>
      </c>
      <c r="L53" s="9"/>
      <c r="M53" s="9"/>
      <c r="N53" s="9"/>
      <c r="O53" s="47">
        <f t="shared" si="0"/>
        <v>2211.92</v>
      </c>
      <c r="P53" s="9"/>
      <c r="Q53" s="9"/>
      <c r="R53" s="9"/>
      <c r="S53" s="9"/>
      <c r="T53" s="9">
        <f>SUM(P53:Q53:R53:S53)</f>
        <v>0</v>
      </c>
      <c r="U53" s="47">
        <f t="shared" si="1"/>
        <v>2211.92</v>
      </c>
    </row>
    <row r="54" spans="1:21" x14ac:dyDescent="0.25">
      <c r="A54" s="6" t="s">
        <v>64</v>
      </c>
      <c r="B54" s="7" t="s">
        <v>68</v>
      </c>
      <c r="C54" s="7" t="s">
        <v>96</v>
      </c>
      <c r="D54" s="19">
        <v>3517.98</v>
      </c>
      <c r="E54" s="9"/>
      <c r="F54" s="9"/>
      <c r="G54" s="9"/>
      <c r="H54" s="9">
        <v>630</v>
      </c>
      <c r="I54" s="9">
        <v>0</v>
      </c>
      <c r="J54" s="43">
        <v>0</v>
      </c>
      <c r="K54" s="28">
        <f>SUM(H54:I54:J54)</f>
        <v>630</v>
      </c>
      <c r="L54" s="9"/>
      <c r="M54" s="9"/>
      <c r="N54" s="9"/>
      <c r="O54" s="47">
        <f t="shared" si="0"/>
        <v>4147.9799999999996</v>
      </c>
      <c r="P54" s="9">
        <v>114.85</v>
      </c>
      <c r="Q54" s="9">
        <v>386.98</v>
      </c>
      <c r="R54" s="9"/>
      <c r="S54" s="9"/>
      <c r="T54" s="9">
        <f>SUM(P54:Q54:R54:S54)</f>
        <v>501.83000000000004</v>
      </c>
      <c r="U54" s="47">
        <f t="shared" si="1"/>
        <v>3646.1499999999996</v>
      </c>
    </row>
    <row r="55" spans="1:21" x14ac:dyDescent="0.25">
      <c r="A55" s="7" t="s">
        <v>65</v>
      </c>
      <c r="B55" s="7" t="s">
        <v>90</v>
      </c>
      <c r="C55" s="7" t="s">
        <v>100</v>
      </c>
      <c r="D55" s="19">
        <v>4527.7</v>
      </c>
      <c r="E55" s="9">
        <v>2263.85</v>
      </c>
      <c r="F55" s="9"/>
      <c r="G55" s="9">
        <v>5.19</v>
      </c>
      <c r="H55" s="9">
        <v>330</v>
      </c>
      <c r="I55" s="9">
        <v>0</v>
      </c>
      <c r="J55" s="9">
        <v>0</v>
      </c>
      <c r="K55" s="28">
        <f>SUM(H55:I55:J55)</f>
        <v>330</v>
      </c>
      <c r="L55" s="9">
        <v>755.15</v>
      </c>
      <c r="M55" s="9"/>
      <c r="N55" s="9"/>
      <c r="O55" s="47">
        <f t="shared" si="0"/>
        <v>7881.8899999999985</v>
      </c>
      <c r="P55" s="9">
        <v>387.74</v>
      </c>
      <c r="Q55" s="9">
        <v>570.88</v>
      </c>
      <c r="R55" s="9"/>
      <c r="S55" s="9"/>
      <c r="T55" s="9">
        <f>SUM(P55:Q55:R55:S55)</f>
        <v>958.62</v>
      </c>
      <c r="U55" s="47">
        <f t="shared" si="1"/>
        <v>6923.2699999999986</v>
      </c>
    </row>
    <row r="56" spans="1:21" x14ac:dyDescent="0.25">
      <c r="A56" s="6" t="s">
        <v>66</v>
      </c>
      <c r="B56" s="7" t="s">
        <v>72</v>
      </c>
      <c r="C56" s="7" t="s">
        <v>102</v>
      </c>
      <c r="D56" s="19">
        <v>1308.92</v>
      </c>
      <c r="E56" s="9"/>
      <c r="F56" s="9"/>
      <c r="G56" s="9"/>
      <c r="H56" s="9">
        <v>630</v>
      </c>
      <c r="I56" s="9">
        <v>0</v>
      </c>
      <c r="J56" s="9">
        <v>273</v>
      </c>
      <c r="K56" s="28">
        <f>SUM(H56:I56:J56)</f>
        <v>903</v>
      </c>
      <c r="L56" s="9"/>
      <c r="M56" s="9"/>
      <c r="N56" s="9"/>
      <c r="O56" s="47">
        <f t="shared" si="0"/>
        <v>2211.92</v>
      </c>
      <c r="P56" s="9"/>
      <c r="Q56" s="9"/>
      <c r="R56" s="9"/>
      <c r="S56" s="9"/>
      <c r="T56" s="9">
        <f>SUM(P56:Q56:R56:S56)</f>
        <v>0</v>
      </c>
      <c r="U56" s="47">
        <f t="shared" si="1"/>
        <v>2211.92</v>
      </c>
    </row>
    <row r="57" spans="1:21" x14ac:dyDescent="0.25">
      <c r="A57" s="7" t="s">
        <v>67</v>
      </c>
      <c r="B57" s="7" t="s">
        <v>91</v>
      </c>
      <c r="C57" s="7" t="s">
        <v>95</v>
      </c>
      <c r="D57" s="19">
        <v>9395.69</v>
      </c>
      <c r="E57" s="9"/>
      <c r="F57" s="9"/>
      <c r="G57" s="9"/>
      <c r="H57" s="9">
        <v>630</v>
      </c>
      <c r="I57" s="9">
        <v>0</v>
      </c>
      <c r="J57" s="9">
        <v>0</v>
      </c>
      <c r="K57" s="28">
        <f>SUM(H57:I57:J57)</f>
        <v>630</v>
      </c>
      <c r="L57" s="9"/>
      <c r="M57" s="9"/>
      <c r="N57" s="9"/>
      <c r="O57" s="47">
        <f t="shared" si="0"/>
        <v>10025.69</v>
      </c>
      <c r="P57" s="9">
        <v>1557.46</v>
      </c>
      <c r="Q57" s="9">
        <v>570.88</v>
      </c>
      <c r="R57" s="9"/>
      <c r="S57" s="9"/>
      <c r="T57" s="9">
        <f>SUM(P57:Q57:R57:S57)</f>
        <v>2128.34</v>
      </c>
      <c r="U57" s="47">
        <f t="shared" si="1"/>
        <v>7897.35</v>
      </c>
    </row>
    <row r="58" spans="1:21" x14ac:dyDescent="0.25">
      <c r="A58" s="2"/>
      <c r="B58" s="2"/>
      <c r="C58" s="2"/>
      <c r="D58" s="2"/>
      <c r="E58" s="2"/>
      <c r="F58" s="2"/>
      <c r="G58" s="2"/>
      <c r="H58" s="27">
        <f>SUM(H5:H57)</f>
        <v>29520</v>
      </c>
      <c r="I58" s="27">
        <f>SUM(I5:I57)</f>
        <v>1000</v>
      </c>
      <c r="J58" s="27">
        <f>SUM(J5:J57)</f>
        <v>9323.119999999999</v>
      </c>
      <c r="K58" s="1"/>
      <c r="L58" s="2"/>
      <c r="M58" s="2"/>
      <c r="N58" s="2"/>
      <c r="O58" s="3"/>
      <c r="P58" s="2"/>
      <c r="Q58" s="2"/>
      <c r="R58" s="2"/>
      <c r="S58" s="2"/>
      <c r="T58" s="2"/>
      <c r="U58" s="44">
        <f>SUM(U5:U57)</f>
        <v>273913.8</v>
      </c>
    </row>
    <row r="59" spans="1:21" ht="19.5" x14ac:dyDescent="0.3">
      <c r="A59" s="21" t="s">
        <v>108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2"/>
      <c r="T59" s="2"/>
      <c r="U59" s="2"/>
    </row>
    <row r="60" spans="1:21" ht="15.75" x14ac:dyDescent="0.25">
      <c r="A60" s="32" t="s">
        <v>0</v>
      </c>
      <c r="B60" s="32" t="s">
        <v>1</v>
      </c>
      <c r="C60" s="32" t="s">
        <v>2</v>
      </c>
      <c r="D60" s="32" t="s">
        <v>111</v>
      </c>
      <c r="E60" s="32" t="s">
        <v>110</v>
      </c>
      <c r="F60" s="32" t="s">
        <v>11</v>
      </c>
      <c r="G60" s="32" t="s">
        <v>12</v>
      </c>
      <c r="H60" s="32" t="s">
        <v>109</v>
      </c>
      <c r="I60" s="2"/>
      <c r="J60" s="2"/>
      <c r="K60" s="2"/>
      <c r="L60" s="2"/>
      <c r="M60" s="3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48" t="s">
        <v>36</v>
      </c>
      <c r="B61" s="48" t="s">
        <v>68</v>
      </c>
      <c r="C61" s="48" t="s">
        <v>92</v>
      </c>
      <c r="D61" s="49">
        <v>1758.99</v>
      </c>
      <c r="E61" s="48"/>
      <c r="F61" s="48"/>
      <c r="G61" s="48"/>
      <c r="H61" s="48"/>
    </row>
    <row r="62" spans="1:21" x14ac:dyDescent="0.25">
      <c r="A62" s="48" t="s">
        <v>65</v>
      </c>
      <c r="B62" s="48" t="s">
        <v>87</v>
      </c>
      <c r="C62" s="48" t="s">
        <v>100</v>
      </c>
      <c r="D62" s="49">
        <v>3395.78</v>
      </c>
      <c r="E62" s="48"/>
      <c r="F62" s="48"/>
      <c r="G62" s="48"/>
      <c r="H62" s="48"/>
    </row>
    <row r="63" spans="1:21" x14ac:dyDescent="0.25">
      <c r="A63" s="48"/>
      <c r="B63" s="48"/>
      <c r="C63" s="48"/>
      <c r="D63" s="49"/>
      <c r="E63" s="48"/>
      <c r="F63" s="48"/>
      <c r="G63" s="48"/>
      <c r="H63" s="48"/>
    </row>
    <row r="64" spans="1:21" x14ac:dyDescent="0.25">
      <c r="A64" s="48"/>
      <c r="B64" s="48"/>
      <c r="C64" s="48"/>
      <c r="D64" s="49"/>
      <c r="E64" s="48"/>
      <c r="F64" s="48"/>
      <c r="G64" s="48"/>
      <c r="H64" s="48"/>
    </row>
  </sheetData>
  <autoFilter ref="A4:U63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11</vt:i4>
      </vt:variant>
    </vt:vector>
  </HeadingPairs>
  <TitlesOfParts>
    <vt:vector size="2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Leticia Fernandes</cp:lastModifiedBy>
  <cp:lastPrinted>2017-06-08T14:51:02Z</cp:lastPrinted>
  <dcterms:created xsi:type="dcterms:W3CDTF">2016-05-03T12:35:45Z</dcterms:created>
  <dcterms:modified xsi:type="dcterms:W3CDTF">2017-06-08T14:55:20Z</dcterms:modified>
</cp:coreProperties>
</file>