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\GERENCIA_ADMINISTRATIVA\Leticia\Portal da transparência\"/>
    </mc:Choice>
  </mc:AlternateContent>
  <bookViews>
    <workbookView xWindow="0" yWindow="0" windowWidth="17970" windowHeight="6750" activeTab="11"/>
  </bookViews>
  <sheets>
    <sheet name="Jan" sheetId="9" r:id="rId1"/>
    <sheet name="Fev" sheetId="10" r:id="rId2"/>
    <sheet name="Mar" sheetId="11" r:id="rId3"/>
    <sheet name="Abr" sheetId="12" r:id="rId4"/>
    <sheet name="Mai" sheetId="13" r:id="rId5"/>
    <sheet name="Jun" sheetId="14" r:id="rId6"/>
    <sheet name="Jul" sheetId="15" r:id="rId7"/>
    <sheet name="Ago" sheetId="18" r:id="rId8"/>
    <sheet name="Set" sheetId="17" r:id="rId9"/>
    <sheet name="Out" sheetId="19" r:id="rId10"/>
    <sheet name="Nov" sheetId="20" r:id="rId11"/>
    <sheet name="Dez" sheetId="21" r:id="rId12"/>
  </sheets>
  <definedNames>
    <definedName name="_xlnm._FilterDatabase" localSheetId="3" hidden="1">Abr!$A$4:$V$64</definedName>
    <definedName name="_xlnm._FilterDatabase" localSheetId="7" hidden="1">Ago!$A$4:$W$61</definedName>
    <definedName name="_xlnm._FilterDatabase" localSheetId="11" hidden="1">Dez!$A$59:$G$100</definedName>
    <definedName name="_xlnm._FilterDatabase" localSheetId="1" hidden="1">Fev!$A$4:$U$64</definedName>
    <definedName name="_xlnm._FilterDatabase" localSheetId="0" hidden="1">Jan!$A$4:$U$62</definedName>
    <definedName name="_xlnm._FilterDatabase" localSheetId="6" hidden="1">Jul!$A$4:$V$59</definedName>
    <definedName name="_xlnm._FilterDatabase" localSheetId="5" hidden="1">Jun!$A$4:$V$62</definedName>
    <definedName name="_xlnm._FilterDatabase" localSheetId="4" hidden="1">Mai!$A$4:$V$66</definedName>
    <definedName name="_xlnm._FilterDatabase" localSheetId="2" hidden="1">Mar!$A$4:$V$64</definedName>
    <definedName name="_xlnm._FilterDatabase" localSheetId="10" hidden="1">Nov!$A$4:$W$92</definedName>
    <definedName name="_xlnm._FilterDatabase" localSheetId="9" hidden="1">Out!$A$4:$W$59</definedName>
    <definedName name="_xlnm._FilterDatabase" localSheetId="8" hidden="1">Set!$A$4:$W$60</definedName>
    <definedName name="_xlnm.Print_Area" localSheetId="3">Abr!$A$1:$V$64</definedName>
    <definedName name="_xlnm.Print_Area" localSheetId="7">Ago!$A$1:$W$61</definedName>
    <definedName name="_xlnm.Print_Area" localSheetId="11">Dez!$A$1:$Y$101</definedName>
    <definedName name="_xlnm.Print_Area" localSheetId="1">Fev!$A$1:$U$64</definedName>
    <definedName name="_xlnm.Print_Area" localSheetId="0">Jan!$A$1:$U$62</definedName>
    <definedName name="_xlnm.Print_Area" localSheetId="6">Jul!$A$1:$V$59</definedName>
    <definedName name="_xlnm.Print_Area" localSheetId="5">Jun!$A$1:$V$58</definedName>
    <definedName name="_xlnm.Print_Area" localSheetId="4">Mai!$A$1:$V$66</definedName>
    <definedName name="_xlnm.Print_Area" localSheetId="2">Mar!$A$1:$V$64</definedName>
    <definedName name="_xlnm.Print_Area" localSheetId="10">Nov!$A$1:$W$92</definedName>
    <definedName name="_xlnm.Print_Area" localSheetId="9">Out!$A$1:$W$59</definedName>
    <definedName name="_xlnm.Print_Area" localSheetId="8">Set!$A$1:$W$61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0" l="1"/>
  <c r="L9" i="20"/>
  <c r="L10" i="20"/>
  <c r="L11" i="20"/>
  <c r="L12" i="20"/>
  <c r="L14" i="20"/>
  <c r="L17" i="20"/>
  <c r="L18" i="20"/>
  <c r="L20" i="20"/>
  <c r="L21" i="20"/>
  <c r="L24" i="20"/>
  <c r="L25" i="20"/>
  <c r="L26" i="20"/>
  <c r="L28" i="20"/>
  <c r="L29" i="20"/>
  <c r="L31" i="20"/>
  <c r="L32" i="20"/>
  <c r="L33" i="20"/>
  <c r="L34" i="20"/>
  <c r="L37" i="20"/>
  <c r="L38" i="20"/>
  <c r="L40" i="20"/>
  <c r="L46" i="20"/>
  <c r="L47" i="20"/>
  <c r="L50" i="20"/>
  <c r="L51" i="20"/>
  <c r="L53" i="20"/>
  <c r="L54" i="20"/>
  <c r="J55" i="21" l="1"/>
  <c r="I6" i="21"/>
  <c r="N6" i="21" s="1"/>
  <c r="I7" i="21"/>
  <c r="N7" i="21" s="1"/>
  <c r="I8" i="21"/>
  <c r="N8" i="21" s="1"/>
  <c r="I9" i="21"/>
  <c r="I55" i="21" s="1"/>
  <c r="I10" i="21"/>
  <c r="N10" i="21" s="1"/>
  <c r="I11" i="21"/>
  <c r="N11" i="21" s="1"/>
  <c r="I12" i="21"/>
  <c r="N12" i="21" s="1"/>
  <c r="I13" i="21"/>
  <c r="N13" i="21" s="1"/>
  <c r="I14" i="21"/>
  <c r="N14" i="21" s="1"/>
  <c r="I15" i="21"/>
  <c r="N15" i="21" s="1"/>
  <c r="I16" i="21"/>
  <c r="N16" i="21" s="1"/>
  <c r="I17" i="21"/>
  <c r="N17" i="21" s="1"/>
  <c r="I18" i="21"/>
  <c r="N18" i="21" s="1"/>
  <c r="I19" i="21"/>
  <c r="N19" i="21" s="1"/>
  <c r="I20" i="21"/>
  <c r="N20" i="21" s="1"/>
  <c r="I21" i="21"/>
  <c r="N21" i="21" s="1"/>
  <c r="I22" i="21"/>
  <c r="N22" i="21" s="1"/>
  <c r="I23" i="21"/>
  <c r="N23" i="21" s="1"/>
  <c r="I24" i="21"/>
  <c r="N24" i="21" s="1"/>
  <c r="I25" i="21"/>
  <c r="N25" i="21" s="1"/>
  <c r="I26" i="21"/>
  <c r="N26" i="21" s="1"/>
  <c r="I27" i="21"/>
  <c r="I28" i="21"/>
  <c r="N28" i="21" s="1"/>
  <c r="I29" i="21"/>
  <c r="N29" i="21" s="1"/>
  <c r="I30" i="21"/>
  <c r="N30" i="21" s="1"/>
  <c r="I31" i="21"/>
  <c r="N31" i="21" s="1"/>
  <c r="I32" i="21"/>
  <c r="N32" i="21" s="1"/>
  <c r="I33" i="21"/>
  <c r="N33" i="21" s="1"/>
  <c r="I34" i="21"/>
  <c r="N34" i="21" s="1"/>
  <c r="I35" i="21"/>
  <c r="N35" i="21" s="1"/>
  <c r="I36" i="21"/>
  <c r="N36" i="21" s="1"/>
  <c r="I37" i="21"/>
  <c r="N37" i="21" s="1"/>
  <c r="I38" i="21"/>
  <c r="N38" i="21" s="1"/>
  <c r="I39" i="21"/>
  <c r="N39" i="21" s="1"/>
  <c r="I40" i="21"/>
  <c r="N40" i="21" s="1"/>
  <c r="I41" i="21"/>
  <c r="N41" i="21" s="1"/>
  <c r="I42" i="21"/>
  <c r="N42" i="21" s="1"/>
  <c r="I43" i="21"/>
  <c r="I44" i="21"/>
  <c r="N44" i="21" s="1"/>
  <c r="I45" i="21"/>
  <c r="N45" i="21" s="1"/>
  <c r="I46" i="21"/>
  <c r="N46" i="21" s="1"/>
  <c r="I47" i="21"/>
  <c r="N47" i="21" s="1"/>
  <c r="I48" i="21"/>
  <c r="N48" i="21" s="1"/>
  <c r="I49" i="21"/>
  <c r="N49" i="21" s="1"/>
  <c r="I50" i="21"/>
  <c r="N50" i="21" s="1"/>
  <c r="I51" i="21"/>
  <c r="N51" i="21" s="1"/>
  <c r="I52" i="21"/>
  <c r="N52" i="21" s="1"/>
  <c r="I53" i="21"/>
  <c r="N53" i="21" s="1"/>
  <c r="I54" i="21"/>
  <c r="N54" i="21" s="1"/>
  <c r="I5" i="21"/>
  <c r="N5" i="21" s="1"/>
  <c r="H45" i="20"/>
  <c r="N9" i="21" l="1"/>
  <c r="T41" i="21"/>
  <c r="U41" i="21"/>
  <c r="E41" i="21"/>
  <c r="T30" i="21"/>
  <c r="U30" i="21"/>
  <c r="T26" i="21"/>
  <c r="E26" i="21"/>
  <c r="U52" i="21"/>
  <c r="E52" i="21"/>
  <c r="E15" i="21"/>
  <c r="E17" i="21"/>
  <c r="U17" i="21"/>
  <c r="R17" i="20"/>
  <c r="S17" i="20"/>
  <c r="E17" i="20"/>
  <c r="E52" i="20"/>
  <c r="S33" i="20"/>
  <c r="E33" i="20"/>
  <c r="S16" i="20"/>
  <c r="E16" i="20"/>
  <c r="E49" i="19"/>
  <c r="R43" i="19"/>
  <c r="S43" i="19"/>
  <c r="E43" i="19"/>
  <c r="E38" i="19"/>
  <c r="S38" i="19" l="1"/>
  <c r="E5" i="19"/>
  <c r="G21" i="21" l="1"/>
  <c r="V46" i="21"/>
  <c r="G46" i="21"/>
  <c r="V41" i="21"/>
  <c r="V40" i="21"/>
  <c r="V22" i="21"/>
  <c r="V16" i="21"/>
  <c r="V8" i="21"/>
  <c r="V5" i="21"/>
  <c r="G44" i="21"/>
  <c r="L43" i="21"/>
  <c r="M43" i="21"/>
  <c r="N43" i="21" s="1"/>
  <c r="G17" i="21"/>
  <c r="V52" i="21"/>
  <c r="V45" i="21"/>
  <c r="X18" i="21"/>
  <c r="V10" i="21"/>
  <c r="G39" i="21"/>
  <c r="V21" i="21"/>
  <c r="G26" i="21"/>
  <c r="G38" i="21"/>
  <c r="M27" i="21"/>
  <c r="N27" i="21" s="1"/>
  <c r="V49" i="21"/>
  <c r="G48" i="21"/>
  <c r="V42" i="21"/>
  <c r="G42" i="21"/>
  <c r="G29" i="21"/>
  <c r="N101" i="21" l="1"/>
  <c r="E69" i="21"/>
  <c r="N69" i="21" s="1"/>
  <c r="N63" i="21"/>
  <c r="E94" i="21"/>
  <c r="N94" i="21" s="1"/>
  <c r="E89" i="21"/>
  <c r="E88" i="21"/>
  <c r="N88" i="21" s="1"/>
  <c r="E75" i="21"/>
  <c r="E60" i="21"/>
  <c r="N60" i="21" s="1"/>
  <c r="E92" i="21"/>
  <c r="N92" i="21" s="1"/>
  <c r="E91" i="21"/>
  <c r="N73" i="21"/>
  <c r="N70" i="21"/>
  <c r="E70" i="21"/>
  <c r="E99" i="21"/>
  <c r="N99" i="21" s="1"/>
  <c r="E95" i="21"/>
  <c r="N95" i="21" s="1"/>
  <c r="E93" i="21"/>
  <c r="N93" i="21" s="1"/>
  <c r="N76" i="21"/>
  <c r="E71" i="21"/>
  <c r="N71" i="21" s="1"/>
  <c r="E66" i="21"/>
  <c r="N66" i="21" s="1"/>
  <c r="E64" i="21"/>
  <c r="N64" i="21" s="1"/>
  <c r="E87" i="21"/>
  <c r="E74" i="21"/>
  <c r="E77" i="21"/>
  <c r="N77" i="21" s="1"/>
  <c r="E98" i="21"/>
  <c r="N98" i="21" s="1"/>
  <c r="E86" i="21"/>
  <c r="N86" i="21" s="1"/>
  <c r="E97" i="21"/>
  <c r="N97" i="21" s="1"/>
  <c r="E96" i="21"/>
  <c r="N96" i="21" s="1"/>
  <c r="E84" i="21"/>
  <c r="N84" i="21" s="1"/>
  <c r="E100" i="21"/>
  <c r="N100" i="21" s="1"/>
  <c r="E90" i="21"/>
  <c r="E82" i="21"/>
  <c r="N82" i="21" s="1"/>
  <c r="E79" i="21"/>
  <c r="N79" i="21" s="1"/>
  <c r="N65" i="21"/>
  <c r="N67" i="21"/>
  <c r="N68" i="21"/>
  <c r="N72" i="21"/>
  <c r="N74" i="21"/>
  <c r="N75" i="21"/>
  <c r="N78" i="21"/>
  <c r="N80" i="21"/>
  <c r="N81" i="21"/>
  <c r="N83" i="21"/>
  <c r="N85" i="21"/>
  <c r="N87" i="21"/>
  <c r="N89" i="21"/>
  <c r="N90" i="21"/>
  <c r="N91" i="21"/>
  <c r="E61" i="21"/>
  <c r="N61" i="21" s="1"/>
  <c r="N62" i="21"/>
  <c r="K55" i="21"/>
  <c r="H55" i="21"/>
  <c r="X54" i="21"/>
  <c r="S54" i="21"/>
  <c r="X53" i="21"/>
  <c r="S25" i="21"/>
  <c r="X52" i="21"/>
  <c r="S53" i="21"/>
  <c r="X51" i="21"/>
  <c r="S52" i="21"/>
  <c r="X50" i="21"/>
  <c r="S51" i="21"/>
  <c r="X49" i="21"/>
  <c r="S50" i="21"/>
  <c r="X48" i="21"/>
  <c r="S49" i="21"/>
  <c r="X47" i="21"/>
  <c r="S48" i="21"/>
  <c r="X46" i="21"/>
  <c r="S47" i="21"/>
  <c r="X45" i="21"/>
  <c r="S46" i="21"/>
  <c r="X44" i="21"/>
  <c r="S45" i="21"/>
  <c r="X43" i="21"/>
  <c r="S44" i="21"/>
  <c r="X42" i="21"/>
  <c r="S43" i="21"/>
  <c r="X41" i="21"/>
  <c r="S42" i="21"/>
  <c r="X40" i="21"/>
  <c r="S41" i="21"/>
  <c r="X39" i="21"/>
  <c r="S40" i="21"/>
  <c r="X38" i="21"/>
  <c r="S39" i="21"/>
  <c r="X37" i="21"/>
  <c r="S38" i="21"/>
  <c r="X36" i="21"/>
  <c r="S27" i="21"/>
  <c r="X35" i="21"/>
  <c r="S37" i="21"/>
  <c r="X34" i="21"/>
  <c r="S36" i="21"/>
  <c r="X33" i="21"/>
  <c r="S35" i="21"/>
  <c r="X32" i="21"/>
  <c r="S34" i="21"/>
  <c r="X31" i="21"/>
  <c r="S33" i="21"/>
  <c r="X30" i="21"/>
  <c r="S30" i="21"/>
  <c r="X29" i="21"/>
  <c r="S32" i="21"/>
  <c r="X28" i="21"/>
  <c r="S31" i="21"/>
  <c r="X27" i="21"/>
  <c r="S20" i="21"/>
  <c r="X26" i="21"/>
  <c r="S29" i="21"/>
  <c r="X25" i="21"/>
  <c r="S26" i="21"/>
  <c r="X24" i="21"/>
  <c r="S24" i="21"/>
  <c r="X23" i="21"/>
  <c r="S23" i="21"/>
  <c r="X22" i="21"/>
  <c r="S22" i="21"/>
  <c r="X21" i="21"/>
  <c r="S21" i="21"/>
  <c r="X20" i="21"/>
  <c r="S28" i="21"/>
  <c r="X19" i="21"/>
  <c r="S19" i="21"/>
  <c r="S9" i="21"/>
  <c r="X17" i="21"/>
  <c r="S18" i="21"/>
  <c r="Y18" i="21" s="1"/>
  <c r="X16" i="21"/>
  <c r="S17" i="21"/>
  <c r="X15" i="21"/>
  <c r="S16" i="21"/>
  <c r="X14" i="21"/>
  <c r="S15" i="21"/>
  <c r="X13" i="21"/>
  <c r="S14" i="21"/>
  <c r="X12" i="21"/>
  <c r="S13" i="21"/>
  <c r="X11" i="21"/>
  <c r="S12" i="21"/>
  <c r="X10" i="21"/>
  <c r="S11" i="21"/>
  <c r="X9" i="21"/>
  <c r="S10" i="21"/>
  <c r="X8" i="21"/>
  <c r="S8" i="21"/>
  <c r="Y8" i="21" s="1"/>
  <c r="X7" i="21"/>
  <c r="S7" i="21"/>
  <c r="X6" i="21"/>
  <c r="S6" i="21"/>
  <c r="Y6" i="21" s="1"/>
  <c r="X5" i="21"/>
  <c r="S5" i="21"/>
  <c r="Y40" i="21" l="1"/>
  <c r="Y42" i="21"/>
  <c r="Y44" i="21"/>
  <c r="Y5" i="21"/>
  <c r="Y30" i="21"/>
  <c r="Y38" i="21"/>
  <c r="Y13" i="21"/>
  <c r="Y29" i="21"/>
  <c r="Y7" i="21"/>
  <c r="N102" i="21"/>
  <c r="Y15" i="21"/>
  <c r="Y19" i="21"/>
  <c r="Y21" i="21"/>
  <c r="Y23" i="21"/>
  <c r="Y27" i="21"/>
  <c r="Y54" i="21"/>
  <c r="Y31" i="21"/>
  <c r="Y35" i="21"/>
  <c r="Y45" i="21"/>
  <c r="Y49" i="21"/>
  <c r="Y17" i="21"/>
  <c r="Y26" i="21"/>
  <c r="Y9" i="21"/>
  <c r="Y46" i="21"/>
  <c r="Y32" i="21"/>
  <c r="Y36" i="21"/>
  <c r="Y37" i="21"/>
  <c r="Y39" i="21"/>
  <c r="Y41" i="21"/>
  <c r="Y43" i="21"/>
  <c r="Y48" i="21"/>
  <c r="Y50" i="21"/>
  <c r="Y34" i="21"/>
  <c r="Y47" i="21"/>
  <c r="Y14" i="21"/>
  <c r="Y16" i="21"/>
  <c r="Y33" i="21"/>
  <c r="Y11" i="21"/>
  <c r="Y25" i="21"/>
  <c r="Y28" i="21"/>
  <c r="Y52" i="21"/>
  <c r="Y51" i="21"/>
  <c r="Y10" i="21"/>
  <c r="Y12" i="21"/>
  <c r="Y20" i="21"/>
  <c r="Y24" i="21"/>
  <c r="Y53" i="21"/>
  <c r="Y22" i="21"/>
  <c r="L55" i="21"/>
  <c r="S52" i="20"/>
  <c r="Y55" i="21" l="1"/>
  <c r="U21" i="15"/>
  <c r="R20" i="15"/>
  <c r="E20" i="15"/>
  <c r="R18" i="19" l="1"/>
  <c r="S18" i="19"/>
  <c r="E18" i="19"/>
  <c r="R44" i="18"/>
  <c r="S44" i="18"/>
  <c r="E44" i="18"/>
  <c r="R8" i="15"/>
  <c r="E8" i="15"/>
  <c r="R13" i="18"/>
  <c r="S13" i="18"/>
  <c r="R49" i="19"/>
  <c r="S49" i="19"/>
  <c r="R47" i="18"/>
  <c r="S48" i="17"/>
  <c r="S47" i="18"/>
  <c r="E48" i="17"/>
  <c r="E47" i="18"/>
  <c r="R40" i="17"/>
  <c r="S40" i="17"/>
  <c r="S39" i="18"/>
  <c r="E40" i="17"/>
  <c r="E39" i="18"/>
  <c r="R40" i="18"/>
  <c r="Q39" i="15" l="1"/>
  <c r="R39" i="15"/>
  <c r="S40" i="18"/>
  <c r="E39" i="15"/>
  <c r="E40" i="18"/>
  <c r="R44" i="15"/>
  <c r="E44" i="15"/>
  <c r="S5" i="19"/>
  <c r="I55" i="20" l="1"/>
  <c r="H55" i="20"/>
  <c r="V54" i="20"/>
  <c r="Q54" i="20"/>
  <c r="W54" i="20" s="1"/>
  <c r="V25" i="20"/>
  <c r="Q25" i="20"/>
  <c r="V53" i="20"/>
  <c r="Q53" i="20"/>
  <c r="W53" i="20" s="1"/>
  <c r="T52" i="20"/>
  <c r="V52" i="20" s="1"/>
  <c r="J52" i="20"/>
  <c r="V51" i="20"/>
  <c r="Q51" i="20"/>
  <c r="V50" i="20"/>
  <c r="Q50" i="20"/>
  <c r="W50" i="20" s="1"/>
  <c r="T49" i="20"/>
  <c r="V49" i="20" s="1"/>
  <c r="J49" i="20"/>
  <c r="V48" i="20"/>
  <c r="J48" i="20"/>
  <c r="V47" i="20"/>
  <c r="Q47" i="20"/>
  <c r="T46" i="20"/>
  <c r="V46" i="20" s="1"/>
  <c r="G46" i="20"/>
  <c r="T45" i="20"/>
  <c r="V45" i="20" s="1"/>
  <c r="J45" i="20"/>
  <c r="L45" i="20" s="1"/>
  <c r="G45" i="20"/>
  <c r="V44" i="20"/>
  <c r="J44" i="20"/>
  <c r="L44" i="20" s="1"/>
  <c r="G44" i="20"/>
  <c r="T43" i="20"/>
  <c r="V43" i="20" s="1"/>
  <c r="J43" i="20"/>
  <c r="V42" i="20"/>
  <c r="J42" i="20"/>
  <c r="T41" i="20"/>
  <c r="V41" i="20" s="1"/>
  <c r="J41" i="20"/>
  <c r="T40" i="20"/>
  <c r="V40" i="20" s="1"/>
  <c r="Q40" i="20"/>
  <c r="V39" i="20"/>
  <c r="J39" i="20"/>
  <c r="L39" i="20" s="1"/>
  <c r="Q39" i="20" s="1"/>
  <c r="S38" i="20"/>
  <c r="V38" i="20" s="1"/>
  <c r="G38" i="20"/>
  <c r="V27" i="20"/>
  <c r="J27" i="20"/>
  <c r="L27" i="20" s="1"/>
  <c r="Q27" i="20" s="1"/>
  <c r="V37" i="20"/>
  <c r="Q37" i="20"/>
  <c r="V36" i="20"/>
  <c r="J36" i="20"/>
  <c r="V35" i="20"/>
  <c r="J35" i="20"/>
  <c r="V34" i="20"/>
  <c r="Q34" i="20"/>
  <c r="T33" i="20"/>
  <c r="V33" i="20" s="1"/>
  <c r="G33" i="20"/>
  <c r="V30" i="20"/>
  <c r="J30" i="20"/>
  <c r="V32" i="20"/>
  <c r="Q32" i="20"/>
  <c r="V31" i="20"/>
  <c r="Q31" i="20"/>
  <c r="V20" i="20"/>
  <c r="Q20" i="20"/>
  <c r="V29" i="20"/>
  <c r="G29" i="20"/>
  <c r="V26" i="20"/>
  <c r="Q26" i="20"/>
  <c r="V24" i="20"/>
  <c r="Q24" i="20"/>
  <c r="V23" i="20"/>
  <c r="J23" i="20"/>
  <c r="T22" i="20"/>
  <c r="V22" i="20" s="1"/>
  <c r="J22" i="20"/>
  <c r="T21" i="20"/>
  <c r="V21" i="20" s="1"/>
  <c r="G21" i="20"/>
  <c r="V28" i="20"/>
  <c r="Q28" i="20"/>
  <c r="V19" i="20"/>
  <c r="J19" i="20"/>
  <c r="Q9" i="20"/>
  <c r="W9" i="20" s="1"/>
  <c r="V18" i="20"/>
  <c r="Q18" i="20"/>
  <c r="V17" i="20"/>
  <c r="G17" i="20"/>
  <c r="T16" i="20"/>
  <c r="V16" i="20" s="1"/>
  <c r="J16" i="20"/>
  <c r="L16" i="20" s="1"/>
  <c r="Q16" i="20" s="1"/>
  <c r="V15" i="20"/>
  <c r="J15" i="20"/>
  <c r="V14" i="20"/>
  <c r="Q14" i="20"/>
  <c r="V13" i="20"/>
  <c r="J13" i="20"/>
  <c r="L13" i="20" s="1"/>
  <c r="Q13" i="20" s="1"/>
  <c r="W13" i="20" s="1"/>
  <c r="V12" i="20"/>
  <c r="Q12" i="20"/>
  <c r="W12" i="20" s="1"/>
  <c r="V11" i="20"/>
  <c r="Q11" i="20"/>
  <c r="T10" i="20"/>
  <c r="V10" i="20" s="1"/>
  <c r="Q10" i="20"/>
  <c r="T8" i="20"/>
  <c r="V8" i="20" s="1"/>
  <c r="Q8" i="20"/>
  <c r="V7" i="20"/>
  <c r="J7" i="20"/>
  <c r="V6" i="20"/>
  <c r="K6" i="20"/>
  <c r="T5" i="20"/>
  <c r="V5" i="20" s="1"/>
  <c r="J5" i="20"/>
  <c r="L5" i="20" s="1"/>
  <c r="Q5" i="20" s="1"/>
  <c r="I54" i="19"/>
  <c r="H54" i="19"/>
  <c r="V53" i="19"/>
  <c r="L53" i="19"/>
  <c r="Q53" i="19" s="1"/>
  <c r="W53" i="19" s="1"/>
  <c r="V24" i="19"/>
  <c r="L24" i="19"/>
  <c r="Q24" i="19" s="1"/>
  <c r="V52" i="19"/>
  <c r="L52" i="19"/>
  <c r="Q52" i="19" s="1"/>
  <c r="W52" i="19" s="1"/>
  <c r="T51" i="19"/>
  <c r="V51" i="19" s="1"/>
  <c r="L51" i="19"/>
  <c r="Q51" i="19" s="1"/>
  <c r="V50" i="19"/>
  <c r="L50" i="19"/>
  <c r="Q50" i="19" s="1"/>
  <c r="V49" i="19"/>
  <c r="L49" i="19"/>
  <c r="Q49" i="19" s="1"/>
  <c r="T48" i="19"/>
  <c r="V48" i="19" s="1"/>
  <c r="L48" i="19"/>
  <c r="Q48" i="19" s="1"/>
  <c r="V47" i="19"/>
  <c r="L47" i="19"/>
  <c r="G47" i="19"/>
  <c r="V46" i="19"/>
  <c r="L46" i="19"/>
  <c r="Q46" i="19" s="1"/>
  <c r="T45" i="19"/>
  <c r="V45" i="19" s="1"/>
  <c r="L45" i="19"/>
  <c r="Q45" i="19" s="1"/>
  <c r="T44" i="19"/>
  <c r="V44" i="19" s="1"/>
  <c r="L44" i="19"/>
  <c r="Q44" i="19" s="1"/>
  <c r="V43" i="19"/>
  <c r="L43" i="19"/>
  <c r="G43" i="19"/>
  <c r="V42" i="19"/>
  <c r="L42" i="19"/>
  <c r="Q42" i="19" s="1"/>
  <c r="W42" i="19" s="1"/>
  <c r="T41" i="19"/>
  <c r="V41" i="19" s="1"/>
  <c r="L41" i="19"/>
  <c r="Q41" i="19" s="1"/>
  <c r="T40" i="19"/>
  <c r="V40" i="19" s="1"/>
  <c r="L40" i="19"/>
  <c r="Q40" i="19" s="1"/>
  <c r="T39" i="19"/>
  <c r="V39" i="19" s="1"/>
  <c r="L39" i="19"/>
  <c r="Q39" i="19" s="1"/>
  <c r="V38" i="19"/>
  <c r="L38" i="19"/>
  <c r="G38" i="19"/>
  <c r="V37" i="19"/>
  <c r="L37" i="19"/>
  <c r="G37" i="19"/>
  <c r="V26" i="19"/>
  <c r="J26" i="19"/>
  <c r="J54" i="19" s="1"/>
  <c r="V36" i="19"/>
  <c r="L36" i="19"/>
  <c r="Q36" i="19" s="1"/>
  <c r="V35" i="19"/>
  <c r="L35" i="19"/>
  <c r="Q35" i="19" s="1"/>
  <c r="V34" i="19"/>
  <c r="L34" i="19"/>
  <c r="Q34" i="19" s="1"/>
  <c r="V33" i="19"/>
  <c r="L33" i="19"/>
  <c r="Q33" i="19" s="1"/>
  <c r="T32" i="19"/>
  <c r="V32" i="19" s="1"/>
  <c r="L32" i="19"/>
  <c r="G32" i="19"/>
  <c r="V29" i="19"/>
  <c r="L29" i="19"/>
  <c r="Q29" i="19" s="1"/>
  <c r="W29" i="19" s="1"/>
  <c r="U31" i="19"/>
  <c r="V31" i="19" s="1"/>
  <c r="L31" i="19"/>
  <c r="Q31" i="19" s="1"/>
  <c r="V30" i="19"/>
  <c r="Q30" i="19"/>
  <c r="L30" i="19"/>
  <c r="T28" i="19"/>
  <c r="V28" i="19" s="1"/>
  <c r="L28" i="19"/>
  <c r="G28" i="19"/>
  <c r="V25" i="19"/>
  <c r="L25" i="19"/>
  <c r="Q25" i="19" s="1"/>
  <c r="V23" i="19"/>
  <c r="L23" i="19"/>
  <c r="Q23" i="19" s="1"/>
  <c r="W23" i="19" s="1"/>
  <c r="V22" i="19"/>
  <c r="L22" i="19"/>
  <c r="Q22" i="19" s="1"/>
  <c r="V21" i="19"/>
  <c r="L21" i="19"/>
  <c r="Q21" i="19" s="1"/>
  <c r="W21" i="19" s="1"/>
  <c r="T20" i="19"/>
  <c r="V20" i="19" s="1"/>
  <c r="L20" i="19"/>
  <c r="G20" i="19"/>
  <c r="V27" i="19"/>
  <c r="L27" i="19"/>
  <c r="Q27" i="19" s="1"/>
  <c r="V19" i="19"/>
  <c r="L19" i="19"/>
  <c r="Q19" i="19" s="1"/>
  <c r="L9" i="19"/>
  <c r="Q9" i="19" s="1"/>
  <c r="W9" i="19" s="1"/>
  <c r="V18" i="19"/>
  <c r="L18" i="19"/>
  <c r="Q18" i="19" s="1"/>
  <c r="V17" i="19"/>
  <c r="L17" i="19"/>
  <c r="Q17" i="19" s="1"/>
  <c r="T16" i="19"/>
  <c r="V16" i="19" s="1"/>
  <c r="L16" i="19"/>
  <c r="Q16" i="19" s="1"/>
  <c r="V15" i="19"/>
  <c r="P15" i="19"/>
  <c r="L15" i="19"/>
  <c r="V14" i="19"/>
  <c r="L14" i="19"/>
  <c r="Q14" i="19" s="1"/>
  <c r="W14" i="19" s="1"/>
  <c r="V13" i="19"/>
  <c r="L13" i="19"/>
  <c r="Q13" i="19" s="1"/>
  <c r="V12" i="19"/>
  <c r="L12" i="19"/>
  <c r="Q12" i="19" s="1"/>
  <c r="W12" i="19" s="1"/>
  <c r="V11" i="19"/>
  <c r="L11" i="19"/>
  <c r="Q11" i="19" s="1"/>
  <c r="T10" i="19"/>
  <c r="V10" i="19" s="1"/>
  <c r="L10" i="19"/>
  <c r="Q10" i="19" s="1"/>
  <c r="T8" i="19"/>
  <c r="V8" i="19" s="1"/>
  <c r="L8" i="19"/>
  <c r="Q8" i="19" s="1"/>
  <c r="V7" i="19"/>
  <c r="L7" i="19"/>
  <c r="Q7" i="19" s="1"/>
  <c r="W7" i="19" s="1"/>
  <c r="V6" i="19"/>
  <c r="K6" i="19"/>
  <c r="L6" i="19" s="1"/>
  <c r="G6" i="19"/>
  <c r="T5" i="19"/>
  <c r="V5" i="19" s="1"/>
  <c r="L5" i="19"/>
  <c r="Q5" i="19" s="1"/>
  <c r="Q37" i="19" l="1"/>
  <c r="W37" i="19" s="1"/>
  <c r="W16" i="19"/>
  <c r="L26" i="19"/>
  <c r="Q26" i="19" s="1"/>
  <c r="W26" i="19" s="1"/>
  <c r="L19" i="20"/>
  <c r="Q19" i="20" s="1"/>
  <c r="W19" i="20" s="1"/>
  <c r="L23" i="20"/>
  <c r="Q23" i="20" s="1"/>
  <c r="W23" i="20" s="1"/>
  <c r="L35" i="20"/>
  <c r="Q35" i="20" s="1"/>
  <c r="W35" i="20" s="1"/>
  <c r="Q49" i="20"/>
  <c r="W49" i="20" s="1"/>
  <c r="L49" i="20"/>
  <c r="L6" i="20"/>
  <c r="Q6" i="20" s="1"/>
  <c r="W6" i="20" s="1"/>
  <c r="L41" i="20"/>
  <c r="Q41" i="20" s="1"/>
  <c r="W41" i="20" s="1"/>
  <c r="L43" i="20"/>
  <c r="Q43" i="20" s="1"/>
  <c r="W43" i="20" s="1"/>
  <c r="L15" i="20"/>
  <c r="Q15" i="20" s="1"/>
  <c r="W15" i="20" s="1"/>
  <c r="L22" i="20"/>
  <c r="Q22" i="20" s="1"/>
  <c r="W22" i="20" s="1"/>
  <c r="L30" i="20"/>
  <c r="Q30" i="20" s="1"/>
  <c r="W30" i="20" s="1"/>
  <c r="L36" i="20"/>
  <c r="Q36" i="20" s="1"/>
  <c r="W36" i="20" s="1"/>
  <c r="W40" i="20"/>
  <c r="L48" i="20"/>
  <c r="Q48" i="20" s="1"/>
  <c r="W48" i="20" s="1"/>
  <c r="L52" i="20"/>
  <c r="Q52" i="20" s="1"/>
  <c r="W52" i="20" s="1"/>
  <c r="L7" i="20"/>
  <c r="Q7" i="20" s="1"/>
  <c r="W7" i="20" s="1"/>
  <c r="L42" i="20"/>
  <c r="Q42" i="20" s="1"/>
  <c r="W42" i="20" s="1"/>
  <c r="Q6" i="19"/>
  <c r="W18" i="19"/>
  <c r="W31" i="19"/>
  <c r="W46" i="19"/>
  <c r="W11" i="19"/>
  <c r="W13" i="19"/>
  <c r="Q15" i="19"/>
  <c r="W15" i="19" s="1"/>
  <c r="W27" i="19"/>
  <c r="W48" i="19"/>
  <c r="W50" i="19"/>
  <c r="Q47" i="19"/>
  <c r="W47" i="19" s="1"/>
  <c r="Q44" i="20"/>
  <c r="W44" i="20" s="1"/>
  <c r="W20" i="20"/>
  <c r="W16" i="20"/>
  <c r="W24" i="20"/>
  <c r="Q29" i="20"/>
  <c r="W29" i="20" s="1"/>
  <c r="W34" i="20"/>
  <c r="W47" i="20"/>
  <c r="W33" i="19"/>
  <c r="W36" i="19"/>
  <c r="W39" i="19"/>
  <c r="Q46" i="20"/>
  <c r="W46" i="20" s="1"/>
  <c r="W8" i="19"/>
  <c r="Q28" i="19"/>
  <c r="W28" i="19" s="1"/>
  <c r="W35" i="19"/>
  <c r="W45" i="19"/>
  <c r="J55" i="20"/>
  <c r="W26" i="20"/>
  <c r="W10" i="19"/>
  <c r="Q20" i="19"/>
  <c r="W20" i="19" s="1"/>
  <c r="W34" i="19"/>
  <c r="W41" i="19"/>
  <c r="W44" i="19"/>
  <c r="W24" i="19"/>
  <c r="W31" i="20"/>
  <c r="W39" i="20"/>
  <c r="W51" i="20"/>
  <c r="W25" i="20"/>
  <c r="W40" i="19"/>
  <c r="W8" i="20"/>
  <c r="W30" i="19"/>
  <c r="Q32" i="19"/>
  <c r="W32" i="19" s="1"/>
  <c r="Q38" i="19"/>
  <c r="W38" i="19" s="1"/>
  <c r="Q43" i="19"/>
  <c r="W43" i="19" s="1"/>
  <c r="W6" i="19"/>
  <c r="W17" i="19"/>
  <c r="W19" i="19"/>
  <c r="W22" i="19"/>
  <c r="W25" i="19"/>
  <c r="W49" i="19"/>
  <c r="W51" i="19"/>
  <c r="W18" i="20"/>
  <c r="Q21" i="20"/>
  <c r="W21" i="20" s="1"/>
  <c r="Q33" i="20"/>
  <c r="W33" i="20" s="1"/>
  <c r="W27" i="20"/>
  <c r="W11" i="20"/>
  <c r="W14" i="20"/>
  <c r="Q17" i="20"/>
  <c r="W17" i="20" s="1"/>
  <c r="W37" i="20"/>
  <c r="W28" i="20"/>
  <c r="W32" i="20"/>
  <c r="Q38" i="20"/>
  <c r="W38" i="20" s="1"/>
  <c r="W5" i="19"/>
  <c r="W5" i="20"/>
  <c r="W10" i="20"/>
  <c r="Q45" i="20"/>
  <c r="W45" i="20" s="1"/>
  <c r="W54" i="19" l="1"/>
  <c r="W55" i="20"/>
  <c r="E21" i="15" l="1"/>
  <c r="R42" i="15"/>
  <c r="E42" i="15"/>
  <c r="R46" i="18"/>
  <c r="E47" i="17"/>
  <c r="E46" i="18"/>
  <c r="R10" i="15"/>
  <c r="R29" i="17"/>
  <c r="S29" i="17"/>
  <c r="E29" i="17"/>
  <c r="S22" i="17"/>
  <c r="R22" i="18"/>
  <c r="S22" i="18"/>
  <c r="E22" i="18"/>
  <c r="E22" i="17"/>
  <c r="E47" i="15"/>
  <c r="R39" i="17"/>
  <c r="S39" i="17"/>
  <c r="E39" i="17"/>
  <c r="Q36" i="15"/>
  <c r="R38" i="17"/>
  <c r="R36" i="15"/>
  <c r="E38" i="17"/>
  <c r="E36" i="15"/>
  <c r="R25" i="18"/>
  <c r="S24" i="18"/>
  <c r="S25" i="17"/>
  <c r="E25" i="17"/>
  <c r="E24" i="18"/>
  <c r="H53" i="17" l="1"/>
  <c r="H47" i="17"/>
  <c r="H39" i="17"/>
  <c r="H20" i="17"/>
  <c r="H19" i="17"/>
  <c r="H18" i="17"/>
  <c r="H52" i="17"/>
  <c r="I5" i="17" l="1"/>
  <c r="T46" i="17" l="1"/>
  <c r="G46" i="17"/>
  <c r="T41" i="17"/>
  <c r="T40" i="17"/>
  <c r="T21" i="17"/>
  <c r="T16" i="17"/>
  <c r="G16" i="17"/>
  <c r="T8" i="17"/>
  <c r="V8" i="17" s="1"/>
  <c r="T5" i="17"/>
  <c r="T43" i="17"/>
  <c r="T32" i="17"/>
  <c r="T17" i="17"/>
  <c r="G17" i="17"/>
  <c r="T52" i="17"/>
  <c r="T45" i="17"/>
  <c r="J45" i="17"/>
  <c r="G45" i="17"/>
  <c r="G18" i="17"/>
  <c r="G12" i="17"/>
  <c r="T10" i="17"/>
  <c r="T39" i="17"/>
  <c r="G39" i="17"/>
  <c r="T20" i="17"/>
  <c r="G20" i="17"/>
  <c r="I55" i="18" l="1"/>
  <c r="H55" i="18"/>
  <c r="V54" i="18"/>
  <c r="L54" i="18"/>
  <c r="D54" i="18"/>
  <c r="V53" i="18"/>
  <c r="L53" i="18"/>
  <c r="D53" i="18"/>
  <c r="V25" i="18"/>
  <c r="L25" i="18"/>
  <c r="Q25" i="18" s="1"/>
  <c r="V52" i="18"/>
  <c r="L52" i="18"/>
  <c r="Q52" i="18" s="1"/>
  <c r="T51" i="18"/>
  <c r="V51" i="18" s="1"/>
  <c r="L51" i="18"/>
  <c r="Q51" i="18" s="1"/>
  <c r="V50" i="18"/>
  <c r="L50" i="18"/>
  <c r="D50" i="18"/>
  <c r="V49" i="18"/>
  <c r="L49" i="18"/>
  <c r="Q49" i="18" s="1"/>
  <c r="V48" i="18"/>
  <c r="L48" i="18"/>
  <c r="Q48" i="18" s="1"/>
  <c r="V47" i="18"/>
  <c r="L47" i="18"/>
  <c r="Q47" i="18" s="1"/>
  <c r="V46" i="18"/>
  <c r="L46" i="18"/>
  <c r="Q46" i="18" s="1"/>
  <c r="T45" i="18"/>
  <c r="V45" i="18" s="1"/>
  <c r="L45" i="18"/>
  <c r="Q45" i="18" s="1"/>
  <c r="V44" i="18"/>
  <c r="L44" i="18"/>
  <c r="Q44" i="18" s="1"/>
  <c r="V43" i="18"/>
  <c r="L43" i="18"/>
  <c r="Q43" i="18" s="1"/>
  <c r="V42" i="18"/>
  <c r="L42" i="18"/>
  <c r="Q42" i="18" s="1"/>
  <c r="K42" i="18"/>
  <c r="V41" i="18"/>
  <c r="L41" i="18"/>
  <c r="Q41" i="18" s="1"/>
  <c r="V40" i="18"/>
  <c r="T40" i="18"/>
  <c r="L40" i="18"/>
  <c r="Q40" i="18" s="1"/>
  <c r="V39" i="18"/>
  <c r="L39" i="18"/>
  <c r="Q39" i="18" s="1"/>
  <c r="V38" i="18"/>
  <c r="L38" i="18"/>
  <c r="Q38" i="18" s="1"/>
  <c r="V37" i="18"/>
  <c r="L37" i="18"/>
  <c r="Q37" i="18" s="1"/>
  <c r="V36" i="18"/>
  <c r="L36" i="18"/>
  <c r="D36" i="18"/>
  <c r="V35" i="18"/>
  <c r="L35" i="18"/>
  <c r="Q35" i="18" s="1"/>
  <c r="V34" i="18"/>
  <c r="L34" i="18"/>
  <c r="Q34" i="18" s="1"/>
  <c r="V33" i="18"/>
  <c r="L33" i="18"/>
  <c r="Q33" i="18" s="1"/>
  <c r="V32" i="18"/>
  <c r="L32" i="18"/>
  <c r="Q32" i="18" s="1"/>
  <c r="V31" i="18"/>
  <c r="L31" i="18"/>
  <c r="Q31" i="18" s="1"/>
  <c r="V28" i="18"/>
  <c r="L28" i="18"/>
  <c r="Q28" i="18" s="1"/>
  <c r="V30" i="18"/>
  <c r="L30" i="18"/>
  <c r="Q30" i="18" s="1"/>
  <c r="V29" i="18"/>
  <c r="L29" i="18"/>
  <c r="D29" i="18"/>
  <c r="Q29" i="18" s="1"/>
  <c r="W29" i="18" s="1"/>
  <c r="V27" i="18"/>
  <c r="L27" i="18"/>
  <c r="Q27" i="18" s="1"/>
  <c r="V24" i="18"/>
  <c r="L24" i="18"/>
  <c r="Q24" i="18" s="1"/>
  <c r="V23" i="18"/>
  <c r="L23" i="18"/>
  <c r="D23" i="18"/>
  <c r="V22" i="18"/>
  <c r="L22" i="18"/>
  <c r="Q22" i="18" s="1"/>
  <c r="V21" i="18"/>
  <c r="L21" i="18"/>
  <c r="Q21" i="18" s="1"/>
  <c r="V20" i="18"/>
  <c r="L20" i="18"/>
  <c r="Q20" i="18" s="1"/>
  <c r="V26" i="18"/>
  <c r="L26" i="18"/>
  <c r="D26" i="18"/>
  <c r="V19" i="18"/>
  <c r="L19" i="18"/>
  <c r="Q19" i="18" s="1"/>
  <c r="L9" i="18"/>
  <c r="D9" i="18"/>
  <c r="V18" i="18"/>
  <c r="L18" i="18"/>
  <c r="Q18" i="18" s="1"/>
  <c r="V17" i="18"/>
  <c r="L17" i="18"/>
  <c r="Q17" i="18" s="1"/>
  <c r="T16" i="18"/>
  <c r="V16" i="18" s="1"/>
  <c r="L16" i="18"/>
  <c r="Q16" i="18" s="1"/>
  <c r="V15" i="18"/>
  <c r="L15" i="18"/>
  <c r="Q15" i="18" s="1"/>
  <c r="V14" i="18"/>
  <c r="L14" i="18"/>
  <c r="D14" i="18"/>
  <c r="V13" i="18"/>
  <c r="J13" i="18"/>
  <c r="L13" i="18" s="1"/>
  <c r="Q13" i="18" s="1"/>
  <c r="V12" i="18"/>
  <c r="L12" i="18"/>
  <c r="Q12" i="18" s="1"/>
  <c r="V11" i="18"/>
  <c r="L11" i="18"/>
  <c r="Q11" i="18" s="1"/>
  <c r="V10" i="18"/>
  <c r="L10" i="18"/>
  <c r="Q10" i="18" s="1"/>
  <c r="T8" i="18"/>
  <c r="V8" i="18" s="1"/>
  <c r="L8" i="18"/>
  <c r="Q8" i="18" s="1"/>
  <c r="V7" i="18"/>
  <c r="L7" i="18"/>
  <c r="Q7" i="18" s="1"/>
  <c r="V6" i="18"/>
  <c r="L6" i="18"/>
  <c r="Q6" i="18" s="1"/>
  <c r="T5" i="18"/>
  <c r="V5" i="18" s="1"/>
  <c r="L5" i="18"/>
  <c r="Q5" i="18" s="1"/>
  <c r="W49" i="18" l="1"/>
  <c r="Q53" i="18"/>
  <c r="W37" i="18"/>
  <c r="W42" i="18"/>
  <c r="W52" i="18"/>
  <c r="W10" i="18"/>
  <c r="W12" i="18"/>
  <c r="Q14" i="18"/>
  <c r="W14" i="18" s="1"/>
  <c r="Q9" i="18"/>
  <c r="W9" i="18" s="1"/>
  <c r="Q26" i="18"/>
  <c r="Q23" i="18"/>
  <c r="W44" i="18"/>
  <c r="W47" i="18"/>
  <c r="W39" i="18"/>
  <c r="W24" i="18"/>
  <c r="W46" i="18"/>
  <c r="W48" i="18"/>
  <c r="Q50" i="18"/>
  <c r="W25" i="18"/>
  <c r="W20" i="18"/>
  <c r="W22" i="18"/>
  <c r="W27" i="18"/>
  <c r="W38" i="18"/>
  <c r="W43" i="18"/>
  <c r="W45" i="18"/>
  <c r="W6" i="18"/>
  <c r="W8" i="18"/>
  <c r="W16" i="18"/>
  <c r="W18" i="18"/>
  <c r="W19" i="18"/>
  <c r="W23" i="18"/>
  <c r="W28" i="18"/>
  <c r="W32" i="18"/>
  <c r="W34" i="18"/>
  <c r="Q36" i="18"/>
  <c r="W41" i="18"/>
  <c r="W51" i="18"/>
  <c r="W53" i="18"/>
  <c r="W40" i="18"/>
  <c r="W7" i="18"/>
  <c r="W15" i="18"/>
  <c r="W17" i="18"/>
  <c r="W30" i="18"/>
  <c r="W31" i="18"/>
  <c r="W33" i="18"/>
  <c r="W35" i="18"/>
  <c r="W36" i="18"/>
  <c r="W50" i="18"/>
  <c r="W5" i="18"/>
  <c r="W11" i="18"/>
  <c r="W13" i="18"/>
  <c r="W26" i="18"/>
  <c r="W21" i="18"/>
  <c r="Q54" i="18"/>
  <c r="W54" i="18" s="1"/>
  <c r="J55" i="18"/>
  <c r="W55" i="18" l="1"/>
  <c r="T25" i="17" l="1"/>
  <c r="V25" i="17" s="1"/>
  <c r="L11" i="17"/>
  <c r="Q11" i="17" s="1"/>
  <c r="T38" i="17"/>
  <c r="G38" i="17"/>
  <c r="L26" i="17"/>
  <c r="Q26" i="17" s="1"/>
  <c r="V26" i="17"/>
  <c r="T49" i="17"/>
  <c r="G49" i="17"/>
  <c r="T48" i="17"/>
  <c r="V48" i="17" s="1"/>
  <c r="G48" i="17"/>
  <c r="T35" i="17"/>
  <c r="L19" i="17"/>
  <c r="Q19" i="17" s="1"/>
  <c r="T42" i="17"/>
  <c r="T33" i="17"/>
  <c r="V33" i="17" s="1"/>
  <c r="G33" i="17"/>
  <c r="T28" i="17"/>
  <c r="V28" i="17" s="1"/>
  <c r="G28" i="17"/>
  <c r="K6" i="17"/>
  <c r="T15" i="17"/>
  <c r="V15" i="17" s="1"/>
  <c r="J55" i="17"/>
  <c r="I55" i="17"/>
  <c r="H55" i="17"/>
  <c r="V54" i="17"/>
  <c r="L54" i="17"/>
  <c r="Q54" i="17" s="1"/>
  <c r="V24" i="17"/>
  <c r="L24" i="17"/>
  <c r="Q24" i="17" s="1"/>
  <c r="V53" i="17"/>
  <c r="L53" i="17"/>
  <c r="Q53" i="17" s="1"/>
  <c r="V52" i="17"/>
  <c r="L52" i="17"/>
  <c r="Q52" i="17" s="1"/>
  <c r="V51" i="17"/>
  <c r="L51" i="17"/>
  <c r="Q51" i="17" s="1"/>
  <c r="V50" i="17"/>
  <c r="L50" i="17"/>
  <c r="Q50" i="17" s="1"/>
  <c r="V49" i="17"/>
  <c r="L49" i="17"/>
  <c r="Q49" i="17" s="1"/>
  <c r="L48" i="17"/>
  <c r="Q48" i="17" s="1"/>
  <c r="V47" i="17"/>
  <c r="L47" i="17"/>
  <c r="Q47" i="17" s="1"/>
  <c r="V46" i="17"/>
  <c r="L46" i="17"/>
  <c r="Q46" i="17" s="1"/>
  <c r="V45" i="17"/>
  <c r="L45" i="17"/>
  <c r="Q45" i="17" s="1"/>
  <c r="V44" i="17"/>
  <c r="L44" i="17"/>
  <c r="Q44" i="17" s="1"/>
  <c r="V43" i="17"/>
  <c r="L43" i="17"/>
  <c r="Q43" i="17" s="1"/>
  <c r="V42" i="17"/>
  <c r="L42" i="17"/>
  <c r="Q42" i="17" s="1"/>
  <c r="V41" i="17"/>
  <c r="L41" i="17"/>
  <c r="Q41" i="17" s="1"/>
  <c r="V40" i="17"/>
  <c r="L40" i="17"/>
  <c r="Q40" i="17" s="1"/>
  <c r="V39" i="17"/>
  <c r="L39" i="17"/>
  <c r="Q39" i="17" s="1"/>
  <c r="V38" i="17"/>
  <c r="L38" i="17"/>
  <c r="V37" i="17"/>
  <c r="L37" i="17"/>
  <c r="Q37" i="17" s="1"/>
  <c r="V36" i="17"/>
  <c r="L36" i="17"/>
  <c r="Q36" i="17" s="1"/>
  <c r="V35" i="17"/>
  <c r="L35" i="17"/>
  <c r="Q35" i="17" s="1"/>
  <c r="V34" i="17"/>
  <c r="L34" i="17"/>
  <c r="Q34" i="17" s="1"/>
  <c r="L33" i="17"/>
  <c r="V32" i="17"/>
  <c r="L32" i="17"/>
  <c r="Q32" i="17" s="1"/>
  <c r="V29" i="17"/>
  <c r="L29" i="17"/>
  <c r="Q29" i="17" s="1"/>
  <c r="V31" i="17"/>
  <c r="L31" i="17"/>
  <c r="Q31" i="17" s="1"/>
  <c r="V30" i="17"/>
  <c r="Q30" i="17"/>
  <c r="L30" i="17"/>
  <c r="L28" i="17"/>
  <c r="L25" i="17"/>
  <c r="Q25" i="17" s="1"/>
  <c r="V23" i="17"/>
  <c r="L23" i="17"/>
  <c r="Q23" i="17" s="1"/>
  <c r="V22" i="17"/>
  <c r="L22" i="17"/>
  <c r="Q22" i="17" s="1"/>
  <c r="V21" i="17"/>
  <c r="L21" i="17"/>
  <c r="Q21" i="17" s="1"/>
  <c r="V20" i="17"/>
  <c r="L20" i="17"/>
  <c r="Q20" i="17" s="1"/>
  <c r="V27" i="17"/>
  <c r="L27" i="17"/>
  <c r="Q27" i="17" s="1"/>
  <c r="V19" i="17"/>
  <c r="L9" i="17"/>
  <c r="Q9" i="17" s="1"/>
  <c r="W9" i="17" s="1"/>
  <c r="V18" i="17"/>
  <c r="L18" i="17"/>
  <c r="Q18" i="17" s="1"/>
  <c r="V17" i="17"/>
  <c r="L17" i="17"/>
  <c r="Q17" i="17" s="1"/>
  <c r="V16" i="17"/>
  <c r="L16" i="17"/>
  <c r="Q16" i="17" s="1"/>
  <c r="L15" i="17"/>
  <c r="Q15" i="17" s="1"/>
  <c r="V14" i="17"/>
  <c r="L14" i="17"/>
  <c r="Q14" i="17" s="1"/>
  <c r="V13" i="17"/>
  <c r="L13" i="17"/>
  <c r="Q13" i="17" s="1"/>
  <c r="V12" i="17"/>
  <c r="L12" i="17"/>
  <c r="Q12" i="17" s="1"/>
  <c r="V11" i="17"/>
  <c r="V10" i="17"/>
  <c r="L10" i="17"/>
  <c r="Q10" i="17" s="1"/>
  <c r="L8" i="17"/>
  <c r="Q8" i="17" s="1"/>
  <c r="W8" i="17" s="1"/>
  <c r="V7" i="17"/>
  <c r="L7" i="17"/>
  <c r="Q7" i="17" s="1"/>
  <c r="V6" i="17"/>
  <c r="L6" i="17"/>
  <c r="Q6" i="17" s="1"/>
  <c r="V5" i="17"/>
  <c r="L5" i="17"/>
  <c r="Q5" i="17" s="1"/>
  <c r="W26" i="17" l="1"/>
  <c r="Q38" i="17"/>
  <c r="W38" i="17" s="1"/>
  <c r="W27" i="17"/>
  <c r="W16" i="17"/>
  <c r="W21" i="17"/>
  <c r="W23" i="17"/>
  <c r="W32" i="17"/>
  <c r="W7" i="17"/>
  <c r="W10" i="17"/>
  <c r="W12" i="17"/>
  <c r="W14" i="17"/>
  <c r="W18" i="17"/>
  <c r="Q33" i="17"/>
  <c r="W33" i="17" s="1"/>
  <c r="Q28" i="17"/>
  <c r="W28" i="17" s="1"/>
  <c r="W11" i="17"/>
  <c r="W13" i="17"/>
  <c r="W31" i="17"/>
  <c r="W15" i="17"/>
  <c r="W25" i="17"/>
  <c r="W19" i="17"/>
  <c r="W29" i="17"/>
  <c r="W5" i="17"/>
  <c r="W20" i="17"/>
  <c r="W35" i="17"/>
  <c r="W37" i="17"/>
  <c r="W39" i="17"/>
  <c r="W41" i="17"/>
  <c r="W43" i="17"/>
  <c r="W45" i="17"/>
  <c r="W47" i="17"/>
  <c r="W49" i="17"/>
  <c r="W51" i="17"/>
  <c r="W53" i="17"/>
  <c r="W54" i="17"/>
  <c r="W17" i="17"/>
  <c r="W34" i="17"/>
  <c r="W36" i="17"/>
  <c r="W40" i="17"/>
  <c r="W42" i="17"/>
  <c r="W44" i="17"/>
  <c r="W46" i="17"/>
  <c r="W48" i="17"/>
  <c r="W50" i="17"/>
  <c r="W52" i="17"/>
  <c r="W24" i="17"/>
  <c r="W6" i="17"/>
  <c r="W22" i="17"/>
  <c r="W30" i="17"/>
  <c r="S44" i="15"/>
  <c r="S39" i="15"/>
  <c r="S38" i="15"/>
  <c r="G21" i="15"/>
  <c r="S16" i="15"/>
  <c r="S8" i="15"/>
  <c r="S5" i="15"/>
  <c r="G5" i="15"/>
  <c r="S41" i="15"/>
  <c r="K32" i="15"/>
  <c r="S30" i="15"/>
  <c r="G17" i="15"/>
  <c r="S43" i="15"/>
  <c r="G6" i="15"/>
  <c r="K6" i="15"/>
  <c r="G37" i="15"/>
  <c r="S20" i="15"/>
  <c r="G20" i="15"/>
  <c r="S24" i="15"/>
  <c r="S36" i="15"/>
  <c r="G36" i="15"/>
  <c r="L9" i="15"/>
  <c r="P9" i="15" s="1"/>
  <c r="V9" i="15" s="1"/>
  <c r="S47" i="15"/>
  <c r="G47" i="15"/>
  <c r="G40" i="15"/>
  <c r="G46" i="15"/>
  <c r="S46" i="15"/>
  <c r="S33" i="15"/>
  <c r="S40" i="15"/>
  <c r="S31" i="15"/>
  <c r="S26" i="15"/>
  <c r="W55" i="17" l="1"/>
  <c r="U26" i="15"/>
  <c r="U28" i="15"/>
  <c r="U29" i="15"/>
  <c r="U27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L26" i="15"/>
  <c r="P26" i="15" s="1"/>
  <c r="L28" i="15"/>
  <c r="L29" i="15"/>
  <c r="P29" i="15" s="1"/>
  <c r="L27" i="15"/>
  <c r="P27" i="15" s="1"/>
  <c r="V27" i="15" s="1"/>
  <c r="L30" i="15"/>
  <c r="L31" i="15"/>
  <c r="P31" i="15" s="1"/>
  <c r="L32" i="15"/>
  <c r="P32" i="15" s="1"/>
  <c r="V32" i="15" s="1"/>
  <c r="L33" i="15"/>
  <c r="P33" i="15" s="1"/>
  <c r="L34" i="15"/>
  <c r="P34" i="15" s="1"/>
  <c r="V34" i="15" s="1"/>
  <c r="L35" i="15"/>
  <c r="P35" i="15" s="1"/>
  <c r="V35" i="15" s="1"/>
  <c r="L36" i="15"/>
  <c r="P36" i="15" s="1"/>
  <c r="L37" i="15"/>
  <c r="P37" i="15" s="1"/>
  <c r="L15" i="15"/>
  <c r="P15" i="15" s="1"/>
  <c r="J54" i="15"/>
  <c r="I54" i="15"/>
  <c r="H54" i="15"/>
  <c r="L53" i="15"/>
  <c r="P53" i="15" s="1"/>
  <c r="L52" i="15"/>
  <c r="P52" i="15" s="1"/>
  <c r="L51" i="15"/>
  <c r="P51" i="15" s="1"/>
  <c r="L50" i="15"/>
  <c r="P50" i="15" s="1"/>
  <c r="L49" i="15"/>
  <c r="P49" i="15" s="1"/>
  <c r="L48" i="15"/>
  <c r="P48" i="15" s="1"/>
  <c r="L47" i="15"/>
  <c r="P47" i="15" s="1"/>
  <c r="L46" i="15"/>
  <c r="P46" i="15" s="1"/>
  <c r="L45" i="15"/>
  <c r="L44" i="15"/>
  <c r="P44" i="15" s="1"/>
  <c r="L43" i="15"/>
  <c r="P43" i="15" s="1"/>
  <c r="L42" i="15"/>
  <c r="P42" i="15" s="1"/>
  <c r="L41" i="15"/>
  <c r="P41" i="15" s="1"/>
  <c r="L40" i="15"/>
  <c r="P40" i="15" s="1"/>
  <c r="L39" i="15"/>
  <c r="P39" i="15" s="1"/>
  <c r="L38" i="15"/>
  <c r="P38" i="15" s="1"/>
  <c r="P28" i="15"/>
  <c r="U24" i="15"/>
  <c r="L24" i="15"/>
  <c r="P24" i="15" s="1"/>
  <c r="U23" i="15"/>
  <c r="L23" i="15"/>
  <c r="P23" i="15" s="1"/>
  <c r="U22" i="15"/>
  <c r="L22" i="15"/>
  <c r="P22" i="15" s="1"/>
  <c r="L21" i="15"/>
  <c r="P21" i="15" s="1"/>
  <c r="V21" i="15" s="1"/>
  <c r="U20" i="15"/>
  <c r="L20" i="15"/>
  <c r="P20" i="15" s="1"/>
  <c r="U25" i="15"/>
  <c r="L25" i="15"/>
  <c r="P25" i="15" s="1"/>
  <c r="U19" i="15"/>
  <c r="L19" i="15"/>
  <c r="P19" i="15" s="1"/>
  <c r="U18" i="15"/>
  <c r="L18" i="15"/>
  <c r="P18" i="15" s="1"/>
  <c r="U17" i="15"/>
  <c r="L17" i="15"/>
  <c r="U16" i="15"/>
  <c r="L16" i="15"/>
  <c r="P16" i="15" s="1"/>
  <c r="U15" i="15"/>
  <c r="U14" i="15"/>
  <c r="L14" i="15"/>
  <c r="P14" i="15" s="1"/>
  <c r="U13" i="15"/>
  <c r="L13" i="15"/>
  <c r="P13" i="15" s="1"/>
  <c r="U12" i="15"/>
  <c r="L12" i="15"/>
  <c r="P12" i="15" s="1"/>
  <c r="U11" i="15"/>
  <c r="L11" i="15"/>
  <c r="P11" i="15" s="1"/>
  <c r="U10" i="15"/>
  <c r="L10" i="15"/>
  <c r="P10" i="15" s="1"/>
  <c r="U8" i="15"/>
  <c r="L8" i="15"/>
  <c r="P8" i="15" s="1"/>
  <c r="U7" i="15"/>
  <c r="L7" i="15"/>
  <c r="P7" i="15" s="1"/>
  <c r="U6" i="15"/>
  <c r="L6" i="15"/>
  <c r="P6" i="15" s="1"/>
  <c r="U5" i="15"/>
  <c r="L5" i="15"/>
  <c r="P5" i="15" s="1"/>
  <c r="P30" i="15" l="1"/>
  <c r="V30" i="15" s="1"/>
  <c r="V37" i="15"/>
  <c r="V40" i="15"/>
  <c r="V44" i="15"/>
  <c r="V48" i="15"/>
  <c r="V20" i="15"/>
  <c r="V22" i="15"/>
  <c r="V24" i="15"/>
  <c r="V53" i="15"/>
  <c r="V25" i="15"/>
  <c r="V38" i="15"/>
  <c r="V51" i="15"/>
  <c r="V33" i="15"/>
  <c r="V19" i="15"/>
  <c r="V23" i="15"/>
  <c r="V39" i="15"/>
  <c r="V43" i="15"/>
  <c r="V47" i="15"/>
  <c r="V26" i="15"/>
  <c r="V5" i="15"/>
  <c r="V41" i="15"/>
  <c r="V49" i="15"/>
  <c r="V52" i="15"/>
  <c r="V31" i="15"/>
  <c r="V36" i="15"/>
  <c r="V28" i="15"/>
  <c r="V42" i="15"/>
  <c r="V46" i="15"/>
  <c r="V50" i="15"/>
  <c r="V29" i="15"/>
  <c r="P17" i="15"/>
  <c r="V17" i="15" s="1"/>
  <c r="V7" i="15"/>
  <c r="V16" i="15"/>
  <c r="V18" i="15"/>
  <c r="V15" i="15"/>
  <c r="V6" i="15"/>
  <c r="V10" i="15"/>
  <c r="V14" i="15"/>
  <c r="P45" i="15"/>
  <c r="V45" i="15" s="1"/>
  <c r="V8" i="15"/>
  <c r="V12" i="15"/>
  <c r="V11" i="15"/>
  <c r="V13" i="15"/>
  <c r="I56" i="14"/>
  <c r="L30" i="14"/>
  <c r="L29" i="14"/>
  <c r="H56" i="14"/>
  <c r="V54" i="15" l="1"/>
  <c r="Q23" i="14"/>
  <c r="R23" i="14"/>
  <c r="G23" i="14"/>
  <c r="Q44" i="14"/>
  <c r="R44" i="14"/>
  <c r="G44" i="14"/>
  <c r="Q7" i="14"/>
  <c r="R7" i="14"/>
  <c r="Q8" i="13"/>
  <c r="R8" i="13"/>
  <c r="Q44" i="13"/>
  <c r="R44" i="13"/>
  <c r="G44" i="13"/>
  <c r="Q14" i="13"/>
  <c r="R14" i="13"/>
  <c r="G14" i="13"/>
  <c r="Q55" i="13"/>
  <c r="R55" i="13"/>
  <c r="G55" i="13"/>
  <c r="Q25" i="13"/>
  <c r="G18" i="13"/>
  <c r="Q7" i="13"/>
  <c r="G48" i="13"/>
  <c r="Q48" i="13"/>
  <c r="R48" i="13"/>
  <c r="Q19" i="13"/>
  <c r="G19" i="13"/>
  <c r="Q20" i="13"/>
  <c r="R20" i="13"/>
  <c r="S46" i="14" l="1"/>
  <c r="S41" i="14"/>
  <c r="S40" i="14"/>
  <c r="G19" i="14"/>
  <c r="S16" i="14"/>
  <c r="G16" i="14"/>
  <c r="S5" i="14"/>
  <c r="G43" i="14"/>
  <c r="P32" i="14"/>
  <c r="U32" i="14"/>
  <c r="P29" i="14"/>
  <c r="V29" i="14" s="1"/>
  <c r="G17" i="14"/>
  <c r="O47" i="14"/>
  <c r="G47" i="14"/>
  <c r="J24" i="14"/>
  <c r="J56" i="14" s="1"/>
  <c r="D36" i="14"/>
  <c r="G39" i="14"/>
  <c r="G22" i="14"/>
  <c r="S49" i="14"/>
  <c r="L20" i="14"/>
  <c r="G53" i="14"/>
  <c r="G33" i="14"/>
  <c r="P15" i="14"/>
  <c r="P30" i="14"/>
  <c r="U30" i="14"/>
  <c r="J27" i="13"/>
  <c r="L27" i="13" s="1"/>
  <c r="L5" i="13"/>
  <c r="P5" i="13" s="1"/>
  <c r="S54" i="13"/>
  <c r="U54" i="13" s="1"/>
  <c r="K6" i="13"/>
  <c r="L6" i="13" s="1"/>
  <c r="J13" i="13"/>
  <c r="L13" i="13" s="1"/>
  <c r="J37" i="13"/>
  <c r="L7" i="13"/>
  <c r="L9" i="13"/>
  <c r="L10" i="13"/>
  <c r="L11" i="13"/>
  <c r="L12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8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5" i="13"/>
  <c r="U56" i="13"/>
  <c r="U5" i="13"/>
  <c r="V32" i="14" l="1"/>
  <c r="V30" i="14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0" i="12"/>
  <c r="H19" i="12"/>
  <c r="H18" i="12"/>
  <c r="H16" i="12"/>
  <c r="H15" i="12"/>
  <c r="H14" i="12"/>
  <c r="H13" i="12"/>
  <c r="H12" i="12"/>
  <c r="H11" i="12"/>
  <c r="H10" i="12"/>
  <c r="H9" i="12"/>
  <c r="H8" i="12"/>
  <c r="H7" i="12"/>
  <c r="H6" i="12"/>
  <c r="H5" i="12"/>
  <c r="H50" i="11"/>
  <c r="H38" i="11"/>
  <c r="H36" i="11"/>
  <c r="H34" i="11"/>
  <c r="H24" i="11"/>
  <c r="H21" i="11"/>
  <c r="H15" i="11"/>
  <c r="H13" i="11"/>
  <c r="H8" i="11"/>
  <c r="H7" i="11"/>
  <c r="I56" i="9" l="1"/>
  <c r="I53" i="9"/>
  <c r="I51" i="9"/>
  <c r="I47" i="9"/>
  <c r="I43" i="9"/>
  <c r="I40" i="9"/>
  <c r="I35" i="9"/>
  <c r="I34" i="9"/>
  <c r="I33" i="9"/>
  <c r="I30" i="9"/>
  <c r="I28" i="9"/>
  <c r="I24" i="9"/>
  <c r="I22" i="9"/>
  <c r="I16" i="9"/>
  <c r="I5" i="9"/>
  <c r="U54" i="14" l="1"/>
  <c r="L54" i="14"/>
  <c r="P54" i="14" s="1"/>
  <c r="U53" i="14"/>
  <c r="L53" i="14"/>
  <c r="P53" i="14" s="1"/>
  <c r="U52" i="14"/>
  <c r="L52" i="14"/>
  <c r="P52" i="14" s="1"/>
  <c r="U51" i="14"/>
  <c r="L51" i="14"/>
  <c r="P51" i="14" s="1"/>
  <c r="U50" i="14"/>
  <c r="L50" i="14"/>
  <c r="P50" i="14" s="1"/>
  <c r="U49" i="14"/>
  <c r="L49" i="14"/>
  <c r="P49" i="14" s="1"/>
  <c r="U48" i="14"/>
  <c r="L48" i="14"/>
  <c r="P48" i="14" s="1"/>
  <c r="U47" i="14"/>
  <c r="L47" i="14"/>
  <c r="P47" i="14" s="1"/>
  <c r="U46" i="14"/>
  <c r="L46" i="14"/>
  <c r="P46" i="14" s="1"/>
  <c r="U45" i="14"/>
  <c r="L45" i="14"/>
  <c r="P45" i="14" s="1"/>
  <c r="U44" i="14"/>
  <c r="L44" i="14"/>
  <c r="P44" i="14" s="1"/>
  <c r="U43" i="14"/>
  <c r="L43" i="14"/>
  <c r="P43" i="14" s="1"/>
  <c r="U42" i="14"/>
  <c r="L42" i="14"/>
  <c r="P42" i="14" s="1"/>
  <c r="U41" i="14"/>
  <c r="L41" i="14"/>
  <c r="P41" i="14" s="1"/>
  <c r="U40" i="14"/>
  <c r="L40" i="14"/>
  <c r="P40" i="14" s="1"/>
  <c r="U39" i="14"/>
  <c r="L39" i="14"/>
  <c r="P39" i="14" s="1"/>
  <c r="U38" i="14"/>
  <c r="L38" i="14"/>
  <c r="P38" i="14" s="1"/>
  <c r="U37" i="14"/>
  <c r="L37" i="14"/>
  <c r="P37" i="14" s="1"/>
  <c r="U36" i="14"/>
  <c r="L36" i="14"/>
  <c r="P36" i="14" s="1"/>
  <c r="U35" i="14"/>
  <c r="L35" i="14"/>
  <c r="P35" i="14" s="1"/>
  <c r="U34" i="14"/>
  <c r="L34" i="14"/>
  <c r="P34" i="14" s="1"/>
  <c r="U33" i="14"/>
  <c r="L33" i="14"/>
  <c r="P33" i="14" s="1"/>
  <c r="U31" i="14"/>
  <c r="L31" i="14"/>
  <c r="P31" i="14" s="1"/>
  <c r="U28" i="14"/>
  <c r="L28" i="14"/>
  <c r="P28" i="14" s="1"/>
  <c r="U26" i="14"/>
  <c r="L26" i="14"/>
  <c r="P26" i="14" s="1"/>
  <c r="U25" i="14"/>
  <c r="L25" i="14"/>
  <c r="P25" i="14" s="1"/>
  <c r="U24" i="14"/>
  <c r="L24" i="14"/>
  <c r="P24" i="14" s="1"/>
  <c r="U23" i="14"/>
  <c r="L23" i="14"/>
  <c r="P23" i="14" s="1"/>
  <c r="U22" i="14"/>
  <c r="L22" i="14"/>
  <c r="P22" i="14" s="1"/>
  <c r="U21" i="14"/>
  <c r="L21" i="14"/>
  <c r="P21" i="14" s="1"/>
  <c r="U55" i="14"/>
  <c r="L55" i="14"/>
  <c r="P55" i="14" s="1"/>
  <c r="U20" i="14"/>
  <c r="P20" i="14"/>
  <c r="U19" i="14"/>
  <c r="L19" i="14"/>
  <c r="P19" i="14" s="1"/>
  <c r="U18" i="14"/>
  <c r="L18" i="14"/>
  <c r="P18" i="14" s="1"/>
  <c r="U17" i="14"/>
  <c r="L17" i="14"/>
  <c r="P17" i="14" s="1"/>
  <c r="U16" i="14"/>
  <c r="L16" i="14"/>
  <c r="P16" i="14" s="1"/>
  <c r="U15" i="14"/>
  <c r="U14" i="14"/>
  <c r="L14" i="14"/>
  <c r="P14" i="14" s="1"/>
  <c r="U13" i="14"/>
  <c r="L13" i="14"/>
  <c r="P13" i="14" s="1"/>
  <c r="U12" i="14"/>
  <c r="L12" i="14"/>
  <c r="P12" i="14" s="1"/>
  <c r="U11" i="14"/>
  <c r="L11" i="14"/>
  <c r="P11" i="14" s="1"/>
  <c r="U10" i="14"/>
  <c r="L10" i="14"/>
  <c r="P10" i="14" s="1"/>
  <c r="U9" i="14"/>
  <c r="L9" i="14"/>
  <c r="P9" i="14" s="1"/>
  <c r="U8" i="14"/>
  <c r="L8" i="14"/>
  <c r="P8" i="14" s="1"/>
  <c r="U7" i="14"/>
  <c r="L7" i="14"/>
  <c r="P7" i="14" s="1"/>
  <c r="U6" i="14"/>
  <c r="L6" i="14"/>
  <c r="P6" i="14" s="1"/>
  <c r="U5" i="14"/>
  <c r="L5" i="14"/>
  <c r="P5" i="14" s="1"/>
  <c r="R54" i="11"/>
  <c r="M54" i="11"/>
  <c r="Q25" i="9"/>
  <c r="L25" i="9"/>
  <c r="Q21" i="11"/>
  <c r="M21" i="11"/>
  <c r="Q38" i="11"/>
  <c r="R38" i="11"/>
  <c r="M38" i="11"/>
  <c r="R31" i="12"/>
  <c r="M31" i="12"/>
  <c r="Q47" i="12"/>
  <c r="R47" i="12"/>
  <c r="M47" i="12"/>
  <c r="R6" i="12"/>
  <c r="M6" i="12"/>
  <c r="Q9" i="9"/>
  <c r="L9" i="9"/>
  <c r="P8" i="10"/>
  <c r="Q8" i="10"/>
  <c r="L8" i="10"/>
  <c r="P17" i="10"/>
  <c r="Q53" i="12"/>
  <c r="R53" i="12"/>
  <c r="M53" i="12"/>
  <c r="Q49" i="9"/>
  <c r="L49" i="9"/>
  <c r="P42" i="9"/>
  <c r="Q42" i="9"/>
  <c r="Q41" i="10"/>
  <c r="Q41" i="9"/>
  <c r="L41" i="9"/>
  <c r="L41" i="10"/>
  <c r="R43" i="12"/>
  <c r="M43" i="12"/>
  <c r="R47" i="11"/>
  <c r="M47" i="11"/>
  <c r="Q5" i="9"/>
  <c r="L5" i="9"/>
  <c r="Q5" i="10"/>
  <c r="Q26" i="10"/>
  <c r="L26" i="10"/>
  <c r="Q33" i="12"/>
  <c r="M33" i="12"/>
  <c r="P19" i="9"/>
  <c r="Q19" i="9"/>
  <c r="L19" i="9"/>
  <c r="Q11" i="9"/>
  <c r="P31" i="10"/>
  <c r="L31" i="10"/>
  <c r="Q27" i="11"/>
  <c r="M27" i="11"/>
  <c r="P51" i="10"/>
  <c r="Q51" i="10"/>
  <c r="L51" i="10"/>
  <c r="R35" i="11"/>
  <c r="M35" i="11"/>
  <c r="L33" i="10"/>
  <c r="M34" i="11"/>
  <c r="M33" i="11"/>
  <c r="Q34" i="11"/>
  <c r="P34" i="10"/>
  <c r="Q14" i="11"/>
  <c r="R13" i="12"/>
  <c r="R13" i="11"/>
  <c r="M13" i="11"/>
  <c r="V53" i="14" l="1"/>
  <c r="V23" i="14"/>
  <c r="V25" i="14"/>
  <c r="V28" i="14"/>
  <c r="V34" i="14"/>
  <c r="V36" i="14"/>
  <c r="V39" i="14"/>
  <c r="V41" i="14"/>
  <c r="V47" i="14"/>
  <c r="V51" i="14"/>
  <c r="V50" i="14"/>
  <c r="V52" i="14"/>
  <c r="V24" i="14"/>
  <c r="V26" i="14"/>
  <c r="V31" i="14"/>
  <c r="V33" i="14"/>
  <c r="V35" i="14"/>
  <c r="V37" i="14"/>
  <c r="V38" i="14"/>
  <c r="V10" i="14"/>
  <c r="V11" i="14"/>
  <c r="V13" i="14"/>
  <c r="V15" i="14"/>
  <c r="V17" i="14"/>
  <c r="V19" i="14"/>
  <c r="V55" i="14"/>
  <c r="V43" i="14"/>
  <c r="V45" i="14"/>
  <c r="V7" i="14"/>
  <c r="V42" i="14"/>
  <c r="V6" i="14"/>
  <c r="V9" i="14"/>
  <c r="V12" i="14"/>
  <c r="V14" i="14"/>
  <c r="V16" i="14"/>
  <c r="V18" i="14"/>
  <c r="V20" i="14"/>
  <c r="V21" i="14"/>
  <c r="V22" i="14"/>
  <c r="V44" i="14"/>
  <c r="V46" i="14"/>
  <c r="V54" i="14"/>
  <c r="V5" i="14"/>
  <c r="V8" i="14"/>
  <c r="V48" i="14"/>
  <c r="V49" i="14"/>
  <c r="V40" i="14"/>
  <c r="J57" i="13"/>
  <c r="I57" i="13"/>
  <c r="H57" i="13"/>
  <c r="P56" i="13"/>
  <c r="V56" i="13" s="1"/>
  <c r="P55" i="13"/>
  <c r="V55" i="13" s="1"/>
  <c r="P54" i="13"/>
  <c r="V54" i="13" s="1"/>
  <c r="P53" i="13"/>
  <c r="V53" i="13" s="1"/>
  <c r="P52" i="13"/>
  <c r="V52" i="13" s="1"/>
  <c r="P51" i="13"/>
  <c r="V51" i="13" s="1"/>
  <c r="P50" i="13"/>
  <c r="V50" i="13" s="1"/>
  <c r="P49" i="13"/>
  <c r="V49" i="13" s="1"/>
  <c r="P48" i="13"/>
  <c r="V48" i="13" s="1"/>
  <c r="P47" i="13"/>
  <c r="P46" i="13"/>
  <c r="V46" i="13" s="1"/>
  <c r="P45" i="13"/>
  <c r="V45" i="13" s="1"/>
  <c r="P44" i="13"/>
  <c r="V44" i="13" s="1"/>
  <c r="P43" i="13"/>
  <c r="V43" i="13" s="1"/>
  <c r="P42" i="13"/>
  <c r="V42" i="13" s="1"/>
  <c r="P41" i="13"/>
  <c r="P40" i="13"/>
  <c r="V40" i="13" s="1"/>
  <c r="P39" i="13"/>
  <c r="V39" i="13" s="1"/>
  <c r="P38" i="13"/>
  <c r="V38" i="13" s="1"/>
  <c r="P37" i="13"/>
  <c r="V37" i="13" s="1"/>
  <c r="P36" i="13"/>
  <c r="V36" i="13" s="1"/>
  <c r="P35" i="13"/>
  <c r="V35" i="13" s="1"/>
  <c r="P34" i="13"/>
  <c r="V34" i="13" s="1"/>
  <c r="P33" i="13"/>
  <c r="V33" i="13" s="1"/>
  <c r="P32" i="13"/>
  <c r="V32" i="13" s="1"/>
  <c r="P31" i="13"/>
  <c r="V31" i="13" s="1"/>
  <c r="P30" i="13"/>
  <c r="V30" i="13" s="1"/>
  <c r="P29" i="13"/>
  <c r="V29" i="13" s="1"/>
  <c r="P28" i="13"/>
  <c r="V28" i="13" s="1"/>
  <c r="P27" i="13"/>
  <c r="V27" i="13" s="1"/>
  <c r="P26" i="13"/>
  <c r="V26" i="13" s="1"/>
  <c r="P25" i="13"/>
  <c r="P24" i="13"/>
  <c r="V24" i="13" s="1"/>
  <c r="P23" i="13"/>
  <c r="V23" i="13" s="1"/>
  <c r="P22" i="13"/>
  <c r="V22" i="13" s="1"/>
  <c r="P21" i="13"/>
  <c r="V21" i="13" s="1"/>
  <c r="P20" i="13"/>
  <c r="V20" i="13" s="1"/>
  <c r="P19" i="13"/>
  <c r="V19" i="13" s="1"/>
  <c r="P18" i="13"/>
  <c r="V18" i="13" s="1"/>
  <c r="P17" i="13"/>
  <c r="P16" i="13"/>
  <c r="V16" i="13" s="1"/>
  <c r="P15" i="13"/>
  <c r="V15" i="13" s="1"/>
  <c r="P14" i="13"/>
  <c r="P13" i="13"/>
  <c r="V13" i="13" s="1"/>
  <c r="P12" i="13"/>
  <c r="V12" i="13" s="1"/>
  <c r="P11" i="13"/>
  <c r="V11" i="13" s="1"/>
  <c r="P10" i="13"/>
  <c r="V10" i="13" s="1"/>
  <c r="P9" i="13"/>
  <c r="V9" i="13" s="1"/>
  <c r="P8" i="13"/>
  <c r="V8" i="13" s="1"/>
  <c r="P7" i="13"/>
  <c r="P6" i="13"/>
  <c r="V6" i="13" s="1"/>
  <c r="V5" i="13"/>
  <c r="S48" i="12"/>
  <c r="S43" i="12"/>
  <c r="G43" i="12"/>
  <c r="S42" i="12"/>
  <c r="L21" i="12"/>
  <c r="P21" i="12" s="1"/>
  <c r="V21" i="12" s="1"/>
  <c r="U21" i="12"/>
  <c r="S18" i="12"/>
  <c r="S9" i="12"/>
  <c r="S5" i="12"/>
  <c r="G46" i="12"/>
  <c r="G45" i="12"/>
  <c r="G6" i="12"/>
  <c r="S26" i="12"/>
  <c r="G26" i="12"/>
  <c r="G41" i="12"/>
  <c r="G53" i="12"/>
  <c r="G40" i="12"/>
  <c r="S52" i="12"/>
  <c r="G52" i="12"/>
  <c r="S50" i="12"/>
  <c r="G50" i="12"/>
  <c r="S36" i="12"/>
  <c r="S44" i="12"/>
  <c r="G34" i="12"/>
  <c r="V56" i="14" l="1"/>
  <c r="V17" i="13"/>
  <c r="V14" i="13"/>
  <c r="V7" i="13"/>
  <c r="V25" i="13"/>
  <c r="V41" i="13"/>
  <c r="V47" i="13"/>
  <c r="G31" i="12"/>
  <c r="V57" i="13" l="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" i="12"/>
  <c r="J58" i="12"/>
  <c r="J51" i="11"/>
  <c r="J9" i="11"/>
  <c r="J13" i="11"/>
  <c r="J15" i="11"/>
  <c r="J17" i="11"/>
  <c r="J18" i="11"/>
  <c r="J21" i="11"/>
  <c r="J24" i="11"/>
  <c r="J29" i="11"/>
  <c r="J32" i="11"/>
  <c r="J40" i="11"/>
  <c r="J41" i="11"/>
  <c r="J42" i="11"/>
  <c r="J44" i="11"/>
  <c r="J45" i="11"/>
  <c r="J49" i="11"/>
  <c r="J54" i="11"/>
  <c r="S47" i="11"/>
  <c r="G47" i="11"/>
  <c r="D47" i="11"/>
  <c r="S42" i="11"/>
  <c r="G42" i="11"/>
  <c r="D42" i="11"/>
  <c r="G41" i="11"/>
  <c r="S41" i="11"/>
  <c r="D41" i="11"/>
  <c r="R26" i="11"/>
  <c r="S26" i="11"/>
  <c r="G26" i="11"/>
  <c r="D26" i="11"/>
  <c r="S18" i="11"/>
  <c r="G18" i="11"/>
  <c r="D18" i="11"/>
  <c r="S9" i="11"/>
  <c r="D9" i="11"/>
  <c r="S5" i="11"/>
  <c r="G5" i="11"/>
  <c r="D5" i="11"/>
  <c r="G45" i="11"/>
  <c r="D45" i="11"/>
  <c r="K44" i="11"/>
  <c r="G44" i="11"/>
  <c r="D44" i="11"/>
  <c r="D34" i="11"/>
  <c r="S32" i="11"/>
  <c r="G32" i="11"/>
  <c r="D32" i="11"/>
  <c r="O19" i="11"/>
  <c r="G19" i="11"/>
  <c r="D19" i="11"/>
  <c r="D12" i="11"/>
  <c r="D28" i="11"/>
  <c r="S54" i="11"/>
  <c r="G54" i="11"/>
  <c r="D54" i="11"/>
  <c r="G48" i="11"/>
  <c r="D48" i="11"/>
  <c r="G46" i="11"/>
  <c r="D46" i="11"/>
  <c r="S31" i="11"/>
  <c r="D31" i="11"/>
  <c r="D53" i="11"/>
  <c r="D27" i="11"/>
  <c r="S24" i="11"/>
  <c r="D24" i="11"/>
  <c r="S20" i="11"/>
  <c r="D20" i="11"/>
  <c r="D14" i="11"/>
  <c r="S11" i="11"/>
  <c r="G11" i="11"/>
  <c r="D11" i="11"/>
  <c r="D50" i="11"/>
  <c r="S6" i="11"/>
  <c r="K6" i="11"/>
  <c r="G6" i="11"/>
  <c r="D6" i="11"/>
  <c r="G40" i="11"/>
  <c r="S40" i="11"/>
  <c r="S25" i="11"/>
  <c r="G25" i="11"/>
  <c r="D40" i="11"/>
  <c r="D25" i="11"/>
  <c r="G52" i="11"/>
  <c r="D52" i="11"/>
  <c r="S29" i="11"/>
  <c r="G29" i="11"/>
  <c r="D29" i="11"/>
  <c r="D22" i="11"/>
  <c r="D13" i="11"/>
  <c r="G39" i="11"/>
  <c r="O39" i="11"/>
  <c r="D39" i="11"/>
  <c r="D38" i="11"/>
  <c r="D56" i="11"/>
  <c r="D37" i="11"/>
  <c r="D15" i="11"/>
  <c r="G51" i="11"/>
  <c r="S51" i="11"/>
  <c r="D51" i="11"/>
  <c r="S49" i="11"/>
  <c r="G49" i="11"/>
  <c r="D49" i="11"/>
  <c r="J57" i="11" l="1"/>
  <c r="S35" i="11"/>
  <c r="U35" i="11"/>
  <c r="G35" i="11"/>
  <c r="D35" i="11"/>
  <c r="D7" i="11"/>
  <c r="D10" i="11"/>
  <c r="G55" i="11"/>
  <c r="D55" i="11"/>
  <c r="S43" i="11"/>
  <c r="G43" i="11"/>
  <c r="D43" i="11"/>
  <c r="S33" i="11"/>
  <c r="U33" i="11" s="1"/>
  <c r="G33" i="11"/>
  <c r="D33" i="11"/>
  <c r="S30" i="11"/>
  <c r="U30" i="11" s="1"/>
  <c r="G30" i="11"/>
  <c r="D30" i="11"/>
  <c r="O21" i="11"/>
  <c r="D21" i="11"/>
  <c r="D23" i="11"/>
  <c r="D16" i="11"/>
  <c r="D36" i="11"/>
  <c r="O17" i="11"/>
  <c r="D8" i="11"/>
  <c r="M8" i="11"/>
  <c r="I58" i="12"/>
  <c r="H58" i="12"/>
  <c r="U57" i="12"/>
  <c r="P57" i="12"/>
  <c r="U56" i="12"/>
  <c r="P56" i="12"/>
  <c r="U55" i="12"/>
  <c r="P55" i="12"/>
  <c r="U54" i="12"/>
  <c r="P54" i="12"/>
  <c r="U53" i="12"/>
  <c r="P53" i="12"/>
  <c r="U52" i="12"/>
  <c r="P52" i="12"/>
  <c r="U51" i="12"/>
  <c r="P51" i="12"/>
  <c r="U50" i="12"/>
  <c r="P50" i="12"/>
  <c r="U49" i="12"/>
  <c r="P49" i="12"/>
  <c r="U48" i="12"/>
  <c r="P48" i="12"/>
  <c r="U47" i="12"/>
  <c r="P47" i="12"/>
  <c r="U46" i="12"/>
  <c r="P46" i="12"/>
  <c r="U45" i="12"/>
  <c r="P45" i="12"/>
  <c r="U44" i="12"/>
  <c r="P44" i="12"/>
  <c r="U43" i="12"/>
  <c r="P43" i="12"/>
  <c r="U42" i="12"/>
  <c r="P42" i="12"/>
  <c r="U41" i="12"/>
  <c r="P41" i="12"/>
  <c r="U40" i="12"/>
  <c r="P40" i="12"/>
  <c r="U39" i="12"/>
  <c r="P39" i="12"/>
  <c r="U38" i="12"/>
  <c r="P38" i="12"/>
  <c r="U37" i="12"/>
  <c r="P37" i="12"/>
  <c r="U36" i="12"/>
  <c r="P36" i="12"/>
  <c r="U35" i="12"/>
  <c r="P35" i="12"/>
  <c r="U34" i="12"/>
  <c r="P34" i="12"/>
  <c r="U33" i="12"/>
  <c r="P33" i="12"/>
  <c r="U32" i="12"/>
  <c r="P32" i="12"/>
  <c r="U31" i="12"/>
  <c r="P31" i="12"/>
  <c r="U30" i="12"/>
  <c r="P30" i="12"/>
  <c r="U29" i="12"/>
  <c r="P29" i="12"/>
  <c r="U28" i="12"/>
  <c r="P28" i="12"/>
  <c r="U27" i="12"/>
  <c r="P27" i="12"/>
  <c r="P26" i="12"/>
  <c r="U25" i="12"/>
  <c r="P25" i="12"/>
  <c r="U24" i="12"/>
  <c r="P24" i="12"/>
  <c r="U23" i="12"/>
  <c r="P23" i="12"/>
  <c r="U22" i="12"/>
  <c r="P22" i="12"/>
  <c r="U20" i="12"/>
  <c r="P20" i="12"/>
  <c r="U19" i="12"/>
  <c r="P19" i="12"/>
  <c r="U18" i="12"/>
  <c r="P18" i="12"/>
  <c r="U17" i="12"/>
  <c r="P17" i="12"/>
  <c r="U16" i="12"/>
  <c r="P16" i="12"/>
  <c r="U15" i="12"/>
  <c r="P15" i="12"/>
  <c r="U14" i="12"/>
  <c r="P14" i="12"/>
  <c r="U13" i="12"/>
  <c r="P13" i="12"/>
  <c r="U12" i="12"/>
  <c r="P12" i="12"/>
  <c r="U11" i="12"/>
  <c r="P11" i="12"/>
  <c r="U10" i="12"/>
  <c r="P10" i="12"/>
  <c r="U9" i="12"/>
  <c r="P9" i="12"/>
  <c r="U8" i="12"/>
  <c r="P8" i="12"/>
  <c r="U7" i="12"/>
  <c r="P7" i="12"/>
  <c r="U6" i="12"/>
  <c r="P6" i="12"/>
  <c r="U5" i="12"/>
  <c r="P5" i="12"/>
  <c r="I57" i="11"/>
  <c r="H57" i="11"/>
  <c r="U56" i="11"/>
  <c r="L56" i="11"/>
  <c r="P56" i="11" s="1"/>
  <c r="U55" i="11"/>
  <c r="L55" i="11"/>
  <c r="U54" i="11"/>
  <c r="L54" i="11"/>
  <c r="P54" i="11" s="1"/>
  <c r="U53" i="11"/>
  <c r="L53" i="11"/>
  <c r="P53" i="11" s="1"/>
  <c r="U52" i="11"/>
  <c r="L52" i="11"/>
  <c r="P52" i="11" s="1"/>
  <c r="U51" i="11"/>
  <c r="L51" i="11"/>
  <c r="P51" i="11" s="1"/>
  <c r="U50" i="11"/>
  <c r="L50" i="11"/>
  <c r="P50" i="11" s="1"/>
  <c r="U49" i="11"/>
  <c r="L49" i="11"/>
  <c r="P49" i="11" s="1"/>
  <c r="U48" i="11"/>
  <c r="L48" i="11"/>
  <c r="P48" i="11" s="1"/>
  <c r="U47" i="11"/>
  <c r="L47" i="11"/>
  <c r="P47" i="11" s="1"/>
  <c r="U46" i="11"/>
  <c r="L46" i="11"/>
  <c r="P46" i="11" s="1"/>
  <c r="U45" i="11"/>
  <c r="L45" i="11"/>
  <c r="P45" i="11" s="1"/>
  <c r="U44" i="11"/>
  <c r="L44" i="11"/>
  <c r="P44" i="11" s="1"/>
  <c r="U43" i="11"/>
  <c r="L43" i="11"/>
  <c r="P43" i="11" s="1"/>
  <c r="U42" i="11"/>
  <c r="L42" i="11"/>
  <c r="P42" i="11" s="1"/>
  <c r="U41" i="11"/>
  <c r="L41" i="11"/>
  <c r="P41" i="11" s="1"/>
  <c r="U40" i="11"/>
  <c r="L40" i="11"/>
  <c r="P40" i="11" s="1"/>
  <c r="U39" i="11"/>
  <c r="L39" i="11"/>
  <c r="P39" i="11" s="1"/>
  <c r="U38" i="11"/>
  <c r="L38" i="11"/>
  <c r="P38" i="11" s="1"/>
  <c r="U37" i="11"/>
  <c r="L37" i="11"/>
  <c r="P37" i="11" s="1"/>
  <c r="U36" i="11"/>
  <c r="L36" i="11"/>
  <c r="L35" i="11"/>
  <c r="U34" i="11"/>
  <c r="L34" i="11"/>
  <c r="P34" i="11" s="1"/>
  <c r="L33" i="11"/>
  <c r="U32" i="11"/>
  <c r="L32" i="11"/>
  <c r="P32" i="11" s="1"/>
  <c r="U31" i="11"/>
  <c r="L31" i="11"/>
  <c r="P31" i="11" s="1"/>
  <c r="L30" i="11"/>
  <c r="U29" i="11"/>
  <c r="L29" i="11"/>
  <c r="P29" i="11" s="1"/>
  <c r="U28" i="11"/>
  <c r="L28" i="11"/>
  <c r="P28" i="11" s="1"/>
  <c r="U27" i="11"/>
  <c r="L27" i="11"/>
  <c r="P27" i="11" s="1"/>
  <c r="U26" i="11"/>
  <c r="L26" i="11"/>
  <c r="P26" i="11" s="1"/>
  <c r="U25" i="11"/>
  <c r="L25" i="11"/>
  <c r="P25" i="11" s="1"/>
  <c r="U24" i="11"/>
  <c r="L24" i="11"/>
  <c r="P24" i="11" s="1"/>
  <c r="U23" i="11"/>
  <c r="L23" i="11"/>
  <c r="U22" i="11"/>
  <c r="L22" i="11"/>
  <c r="P22" i="11" s="1"/>
  <c r="U21" i="11"/>
  <c r="L21" i="11"/>
  <c r="U20" i="11"/>
  <c r="L20" i="11"/>
  <c r="P20" i="11" s="1"/>
  <c r="U19" i="11"/>
  <c r="L19" i="11"/>
  <c r="P19" i="11" s="1"/>
  <c r="U18" i="11"/>
  <c r="L18" i="11"/>
  <c r="P18" i="11" s="1"/>
  <c r="U17" i="11"/>
  <c r="L17" i="11"/>
  <c r="U16" i="11"/>
  <c r="L16" i="11"/>
  <c r="U15" i="11"/>
  <c r="L15" i="11"/>
  <c r="P15" i="11" s="1"/>
  <c r="U14" i="11"/>
  <c r="L14" i="11"/>
  <c r="P14" i="11" s="1"/>
  <c r="U13" i="11"/>
  <c r="L13" i="11"/>
  <c r="P13" i="11" s="1"/>
  <c r="U12" i="11"/>
  <c r="L12" i="11"/>
  <c r="P12" i="11" s="1"/>
  <c r="U11" i="11"/>
  <c r="L11" i="11"/>
  <c r="P11" i="11" s="1"/>
  <c r="U10" i="11"/>
  <c r="L10" i="11"/>
  <c r="P10" i="11" s="1"/>
  <c r="U9" i="11"/>
  <c r="L9" i="11"/>
  <c r="P9" i="11" s="1"/>
  <c r="U8" i="11"/>
  <c r="L8" i="11"/>
  <c r="U7" i="11"/>
  <c r="L7" i="11"/>
  <c r="U6" i="11"/>
  <c r="L6" i="11"/>
  <c r="P6" i="11" s="1"/>
  <c r="U5" i="11"/>
  <c r="L5" i="11"/>
  <c r="P5" i="11" s="1"/>
  <c r="R47" i="10"/>
  <c r="T47" i="10" s="1"/>
  <c r="G42" i="10"/>
  <c r="R42" i="10"/>
  <c r="T42" i="10" s="1"/>
  <c r="R18" i="10"/>
  <c r="T18" i="10" s="1"/>
  <c r="R9" i="10"/>
  <c r="T9" i="10" s="1"/>
  <c r="R5" i="10"/>
  <c r="T5" i="10" s="1"/>
  <c r="G32" i="10"/>
  <c r="G48" i="10"/>
  <c r="G46" i="10"/>
  <c r="G40" i="10"/>
  <c r="R25" i="10"/>
  <c r="T25" i="10" s="1"/>
  <c r="Q25" i="10"/>
  <c r="G25" i="10"/>
  <c r="G52" i="10"/>
  <c r="G39" i="10"/>
  <c r="G49" i="10"/>
  <c r="R35" i="10"/>
  <c r="T35" i="10" s="1"/>
  <c r="G55" i="10"/>
  <c r="R43" i="10"/>
  <c r="G43" i="10"/>
  <c r="R33" i="10"/>
  <c r="G33" i="10"/>
  <c r="G30" i="10"/>
  <c r="I57" i="10"/>
  <c r="H57" i="10"/>
  <c r="T56" i="10"/>
  <c r="K56" i="10"/>
  <c r="O56" i="10" s="1"/>
  <c r="T55" i="10"/>
  <c r="K55" i="10"/>
  <c r="T54" i="10"/>
  <c r="K54" i="10"/>
  <c r="O54" i="10" s="1"/>
  <c r="T53" i="10"/>
  <c r="K53" i="10"/>
  <c r="O53" i="10" s="1"/>
  <c r="T52" i="10"/>
  <c r="K52" i="10"/>
  <c r="T51" i="10"/>
  <c r="K51" i="10"/>
  <c r="O51" i="10" s="1"/>
  <c r="T50" i="10"/>
  <c r="K50" i="10"/>
  <c r="O50" i="10" s="1"/>
  <c r="T49" i="10"/>
  <c r="K49" i="10"/>
  <c r="T48" i="10"/>
  <c r="K48" i="10"/>
  <c r="K47" i="10"/>
  <c r="O47" i="10" s="1"/>
  <c r="T46" i="10"/>
  <c r="K46" i="10"/>
  <c r="T45" i="10"/>
  <c r="K45" i="10"/>
  <c r="O45" i="10" s="1"/>
  <c r="T44" i="10"/>
  <c r="K44" i="10"/>
  <c r="O44" i="10" s="1"/>
  <c r="T43" i="10"/>
  <c r="K43" i="10"/>
  <c r="O43" i="10" s="1"/>
  <c r="K42" i="10"/>
  <c r="T41" i="10"/>
  <c r="K41" i="10"/>
  <c r="O41" i="10" s="1"/>
  <c r="T40" i="10"/>
  <c r="K40" i="10"/>
  <c r="O40" i="10" s="1"/>
  <c r="T39" i="10"/>
  <c r="K39" i="10"/>
  <c r="T38" i="10"/>
  <c r="K38" i="10"/>
  <c r="O38" i="10" s="1"/>
  <c r="T37" i="10"/>
  <c r="K37" i="10"/>
  <c r="O37" i="10" s="1"/>
  <c r="T36" i="10"/>
  <c r="K36" i="10"/>
  <c r="O36" i="10" s="1"/>
  <c r="K35" i="10"/>
  <c r="O35" i="10" s="1"/>
  <c r="T34" i="10"/>
  <c r="K34" i="10"/>
  <c r="O34" i="10" s="1"/>
  <c r="T33" i="10"/>
  <c r="K33" i="10"/>
  <c r="T32" i="10"/>
  <c r="K32" i="10"/>
  <c r="T31" i="10"/>
  <c r="K31" i="10"/>
  <c r="O31" i="10" s="1"/>
  <c r="T30" i="10"/>
  <c r="K30" i="10"/>
  <c r="T29" i="10"/>
  <c r="K29" i="10"/>
  <c r="O29" i="10" s="1"/>
  <c r="T28" i="10"/>
  <c r="K28" i="10"/>
  <c r="O28" i="10" s="1"/>
  <c r="T27" i="10"/>
  <c r="K27" i="10"/>
  <c r="O27" i="10" s="1"/>
  <c r="T26" i="10"/>
  <c r="K26" i="10"/>
  <c r="O26" i="10" s="1"/>
  <c r="K25" i="10"/>
  <c r="O25" i="10" s="1"/>
  <c r="T24" i="10"/>
  <c r="K24" i="10"/>
  <c r="O24" i="10" s="1"/>
  <c r="T23" i="10"/>
  <c r="K23" i="10"/>
  <c r="O23" i="10" s="1"/>
  <c r="T22" i="10"/>
  <c r="K22" i="10"/>
  <c r="O22" i="10" s="1"/>
  <c r="T21" i="10"/>
  <c r="K21" i="10"/>
  <c r="O21" i="10" s="1"/>
  <c r="T20" i="10"/>
  <c r="K20" i="10"/>
  <c r="O20" i="10" s="1"/>
  <c r="T19" i="10"/>
  <c r="K19" i="10"/>
  <c r="O19" i="10" s="1"/>
  <c r="K18" i="10"/>
  <c r="O18" i="10" s="1"/>
  <c r="T17" i="10"/>
  <c r="K17" i="10"/>
  <c r="O17" i="10" s="1"/>
  <c r="T16" i="10"/>
  <c r="K16" i="10"/>
  <c r="O16" i="10" s="1"/>
  <c r="T15" i="10"/>
  <c r="K15" i="10"/>
  <c r="O15" i="10" s="1"/>
  <c r="T14" i="10"/>
  <c r="K14" i="10"/>
  <c r="O14" i="10" s="1"/>
  <c r="T13" i="10"/>
  <c r="K13" i="10"/>
  <c r="O13" i="10" s="1"/>
  <c r="T12" i="10"/>
  <c r="K12" i="10"/>
  <c r="O12" i="10" s="1"/>
  <c r="T11" i="10"/>
  <c r="K11" i="10"/>
  <c r="O11" i="10" s="1"/>
  <c r="T10" i="10"/>
  <c r="K10" i="10"/>
  <c r="O10" i="10" s="1"/>
  <c r="K9" i="10"/>
  <c r="O9" i="10" s="1"/>
  <c r="T8" i="10"/>
  <c r="K8" i="10"/>
  <c r="O8" i="10" s="1"/>
  <c r="T7" i="10"/>
  <c r="K7" i="10"/>
  <c r="O7" i="10" s="1"/>
  <c r="T6" i="10"/>
  <c r="K6" i="10"/>
  <c r="O6" i="10" s="1"/>
  <c r="K5" i="10"/>
  <c r="O5" i="10" s="1"/>
  <c r="K5" i="9"/>
  <c r="K7" i="9"/>
  <c r="K8" i="9"/>
  <c r="K9" i="9"/>
  <c r="K10" i="9"/>
  <c r="K11" i="9"/>
  <c r="K12" i="9"/>
  <c r="K13" i="9"/>
  <c r="K14" i="9"/>
  <c r="K15" i="9"/>
  <c r="K16" i="9"/>
  <c r="O16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G47" i="9"/>
  <c r="R47" i="9"/>
  <c r="R42" i="9"/>
  <c r="G42" i="9"/>
  <c r="R41" i="9"/>
  <c r="G41" i="9"/>
  <c r="R26" i="9"/>
  <c r="G26" i="9"/>
  <c r="R18" i="9"/>
  <c r="G18" i="9"/>
  <c r="R9" i="9"/>
  <c r="R5" i="9"/>
  <c r="G5" i="9"/>
  <c r="G45" i="9"/>
  <c r="R44" i="9"/>
  <c r="T44" i="9" s="1"/>
  <c r="G44" i="9"/>
  <c r="O44" i="9" s="1"/>
  <c r="R32" i="9"/>
  <c r="R19" i="9"/>
  <c r="G19" i="9"/>
  <c r="R54" i="9"/>
  <c r="G48" i="9"/>
  <c r="R46" i="9"/>
  <c r="G46" i="9"/>
  <c r="R24" i="9"/>
  <c r="R20" i="9"/>
  <c r="G6" i="9"/>
  <c r="K6" i="9"/>
  <c r="R40" i="9"/>
  <c r="G40" i="9"/>
  <c r="R25" i="9"/>
  <c r="G25" i="9"/>
  <c r="R52" i="9"/>
  <c r="G52" i="9"/>
  <c r="R29" i="9"/>
  <c r="G39" i="9"/>
  <c r="R39" i="9"/>
  <c r="R51" i="9"/>
  <c r="G51" i="9"/>
  <c r="R49" i="9"/>
  <c r="G49" i="9"/>
  <c r="R35" i="9"/>
  <c r="G35" i="9"/>
  <c r="G55" i="9"/>
  <c r="R33" i="9"/>
  <c r="R43" i="9"/>
  <c r="G43" i="9"/>
  <c r="R30" i="9"/>
  <c r="G30" i="9"/>
  <c r="T16" i="9"/>
  <c r="P8" i="11" l="1"/>
  <c r="P23" i="11"/>
  <c r="V23" i="11" s="1"/>
  <c r="O52" i="10"/>
  <c r="U52" i="10" s="1"/>
  <c r="V7" i="12"/>
  <c r="V9" i="12"/>
  <c r="V11" i="12"/>
  <c r="V13" i="12"/>
  <c r="V15" i="12"/>
  <c r="V17" i="12"/>
  <c r="V19" i="12"/>
  <c r="V28" i="12"/>
  <c r="V38" i="12"/>
  <c r="V40" i="12"/>
  <c r="V42" i="12"/>
  <c r="V46" i="12"/>
  <c r="V50" i="12"/>
  <c r="V52" i="12"/>
  <c r="V54" i="12"/>
  <c r="V56" i="12"/>
  <c r="V22" i="12"/>
  <c r="V24" i="12"/>
  <c r="V31" i="12"/>
  <c r="V33" i="12"/>
  <c r="V39" i="12"/>
  <c r="V49" i="11"/>
  <c r="V45" i="11"/>
  <c r="V44" i="11"/>
  <c r="V46" i="11"/>
  <c r="V48" i="11"/>
  <c r="V50" i="11"/>
  <c r="V37" i="11"/>
  <c r="V38" i="11"/>
  <c r="V24" i="11"/>
  <c r="V6" i="12"/>
  <c r="V27" i="12"/>
  <c r="V30" i="12"/>
  <c r="V45" i="12"/>
  <c r="V8" i="12"/>
  <c r="V10" i="12"/>
  <c r="V12" i="12"/>
  <c r="V14" i="12"/>
  <c r="V16" i="12"/>
  <c r="V18" i="12"/>
  <c r="V20" i="12"/>
  <c r="V23" i="12"/>
  <c r="V25" i="12"/>
  <c r="V29" i="12"/>
  <c r="V32" i="12"/>
  <c r="V37" i="12"/>
  <c r="V41" i="12"/>
  <c r="V47" i="12"/>
  <c r="V49" i="12"/>
  <c r="V51" i="12"/>
  <c r="V53" i="12"/>
  <c r="V55" i="12"/>
  <c r="V57" i="12"/>
  <c r="P35" i="11"/>
  <c r="V35" i="11" s="1"/>
  <c r="P7" i="11"/>
  <c r="V7" i="11" s="1"/>
  <c r="V5" i="11"/>
  <c r="V19" i="11"/>
  <c r="V40" i="11"/>
  <c r="P33" i="11"/>
  <c r="V33" i="11" s="1"/>
  <c r="V52" i="11"/>
  <c r="V18" i="11"/>
  <c r="V20" i="11"/>
  <c r="V31" i="11"/>
  <c r="V39" i="11"/>
  <c r="V41" i="11"/>
  <c r="P55" i="11"/>
  <c r="V55" i="11" s="1"/>
  <c r="P30" i="11"/>
  <c r="V30" i="11" s="1"/>
  <c r="P21" i="11"/>
  <c r="V21" i="11" s="1"/>
  <c r="P16" i="11"/>
  <c r="V16" i="11" s="1"/>
  <c r="V42" i="11"/>
  <c r="V56" i="11"/>
  <c r="P17" i="11"/>
  <c r="V17" i="11" s="1"/>
  <c r="V6" i="11"/>
  <c r="V8" i="11"/>
  <c r="V22" i="11"/>
  <c r="V32" i="11"/>
  <c r="P36" i="11"/>
  <c r="V36" i="11" s="1"/>
  <c r="V12" i="11"/>
  <c r="V29" i="11"/>
  <c r="V9" i="11"/>
  <c r="V11" i="11"/>
  <c r="V15" i="11"/>
  <c r="V25" i="11"/>
  <c r="V28" i="11"/>
  <c r="V53" i="11"/>
  <c r="V54" i="11"/>
  <c r="V43" i="11"/>
  <c r="V51" i="11"/>
  <c r="V48" i="12"/>
  <c r="V35" i="12"/>
  <c r="V34" i="12"/>
  <c r="V43" i="12"/>
  <c r="V5" i="12"/>
  <c r="U26" i="12"/>
  <c r="V26" i="12" s="1"/>
  <c r="V36" i="12"/>
  <c r="V44" i="12"/>
  <c r="V10" i="11"/>
  <c r="V14" i="11"/>
  <c r="V13" i="11"/>
  <c r="V27" i="11"/>
  <c r="V26" i="11"/>
  <c r="V34" i="11"/>
  <c r="V47" i="11"/>
  <c r="O42" i="10"/>
  <c r="U42" i="10" s="1"/>
  <c r="U45" i="10"/>
  <c r="O32" i="10"/>
  <c r="U32" i="10" s="1"/>
  <c r="O48" i="10"/>
  <c r="U48" i="10" s="1"/>
  <c r="O46" i="10"/>
  <c r="U46" i="10" s="1"/>
  <c r="U25" i="10"/>
  <c r="O39" i="10"/>
  <c r="U39" i="10" s="1"/>
  <c r="U38" i="10"/>
  <c r="U23" i="10"/>
  <c r="U50" i="10"/>
  <c r="O49" i="10"/>
  <c r="U49" i="10" s="1"/>
  <c r="U18" i="10"/>
  <c r="U37" i="10"/>
  <c r="U56" i="10"/>
  <c r="U5" i="10"/>
  <c r="U26" i="10"/>
  <c r="U28" i="10"/>
  <c r="U34" i="10"/>
  <c r="U53" i="10"/>
  <c r="U43" i="10"/>
  <c r="O55" i="10"/>
  <c r="U55" i="10" s="1"/>
  <c r="O33" i="10"/>
  <c r="U33" i="10" s="1"/>
  <c r="O30" i="10"/>
  <c r="U30" i="10" s="1"/>
  <c r="U22" i="10"/>
  <c r="U8" i="10"/>
  <c r="U31" i="10"/>
  <c r="U36" i="10"/>
  <c r="U10" i="10"/>
  <c r="U14" i="10"/>
  <c r="U7" i="10"/>
  <c r="U9" i="10"/>
  <c r="U21" i="10"/>
  <c r="U35" i="10"/>
  <c r="U51" i="10"/>
  <c r="U6" i="10"/>
  <c r="U19" i="10"/>
  <c r="U20" i="10"/>
  <c r="U24" i="10"/>
  <c r="U27" i="10"/>
  <c r="U29" i="10"/>
  <c r="U54" i="10"/>
  <c r="U13" i="10"/>
  <c r="U12" i="10"/>
  <c r="U16" i="10"/>
  <c r="U17" i="10"/>
  <c r="U11" i="10"/>
  <c r="U15" i="10"/>
  <c r="U40" i="10"/>
  <c r="U41" i="10"/>
  <c r="U44" i="10"/>
  <c r="U47" i="10"/>
  <c r="U44" i="9"/>
  <c r="U16" i="9"/>
  <c r="H57" i="9"/>
  <c r="T56" i="9"/>
  <c r="O56" i="9"/>
  <c r="T55" i="9"/>
  <c r="O55" i="9"/>
  <c r="T54" i="9"/>
  <c r="O54" i="9"/>
  <c r="T52" i="9"/>
  <c r="O52" i="9"/>
  <c r="T51" i="9"/>
  <c r="O51" i="9"/>
  <c r="O50" i="9"/>
  <c r="T49" i="9"/>
  <c r="O49" i="9"/>
  <c r="T48" i="9"/>
  <c r="O48" i="9"/>
  <c r="T47" i="9"/>
  <c r="O47" i="9"/>
  <c r="T46" i="9"/>
  <c r="O46" i="9"/>
  <c r="T10" i="9"/>
  <c r="O10" i="9"/>
  <c r="T45" i="9"/>
  <c r="T42" i="9"/>
  <c r="O42" i="9"/>
  <c r="T22" i="9"/>
  <c r="O22" i="9"/>
  <c r="T41" i="9"/>
  <c r="O41" i="9"/>
  <c r="T40" i="9"/>
  <c r="O40" i="9"/>
  <c r="T39" i="9"/>
  <c r="O39" i="9"/>
  <c r="T38" i="9"/>
  <c r="O38" i="9"/>
  <c r="T36" i="9"/>
  <c r="O36" i="9"/>
  <c r="T35" i="9"/>
  <c r="O35" i="9"/>
  <c r="T34" i="9"/>
  <c r="T33" i="9"/>
  <c r="O33" i="9"/>
  <c r="T32" i="9"/>
  <c r="O32" i="9"/>
  <c r="T43" i="9"/>
  <c r="O43" i="9"/>
  <c r="T31" i="9"/>
  <c r="T30" i="9"/>
  <c r="O30" i="9"/>
  <c r="T37" i="9"/>
  <c r="O37" i="9"/>
  <c r="T28" i="9"/>
  <c r="O28" i="9"/>
  <c r="T29" i="9"/>
  <c r="O29" i="9"/>
  <c r="T27" i="9"/>
  <c r="T26" i="9"/>
  <c r="O26" i="9"/>
  <c r="T25" i="9"/>
  <c r="O25" i="9"/>
  <c r="T24" i="9"/>
  <c r="O24" i="9"/>
  <c r="T23" i="9"/>
  <c r="O23" i="9"/>
  <c r="T21" i="9"/>
  <c r="O21" i="9"/>
  <c r="T20" i="9"/>
  <c r="T19" i="9"/>
  <c r="T18" i="9"/>
  <c r="O18" i="9"/>
  <c r="T17" i="9"/>
  <c r="O17" i="9"/>
  <c r="T15" i="9"/>
  <c r="O15" i="9"/>
  <c r="O14" i="9"/>
  <c r="T13" i="9"/>
  <c r="O13" i="9"/>
  <c r="T12" i="9"/>
  <c r="O12" i="9"/>
  <c r="T11" i="9"/>
  <c r="O11" i="9"/>
  <c r="T9" i="9"/>
  <c r="O9" i="9"/>
  <c r="T53" i="9"/>
  <c r="O53" i="9"/>
  <c r="T8" i="9"/>
  <c r="O8" i="9"/>
  <c r="T7" i="9"/>
  <c r="O7" i="9"/>
  <c r="T6" i="9"/>
  <c r="O6" i="9"/>
  <c r="T5" i="9"/>
  <c r="O5" i="9"/>
  <c r="V58" i="12" l="1"/>
  <c r="V57" i="11"/>
  <c r="U57" i="10"/>
  <c r="U39" i="9"/>
  <c r="U41" i="9"/>
  <c r="U42" i="9"/>
  <c r="U36" i="9"/>
  <c r="U6" i="9"/>
  <c r="U8" i="9"/>
  <c r="U9" i="9"/>
  <c r="U13" i="9"/>
  <c r="T14" i="9"/>
  <c r="U14" i="9" s="1"/>
  <c r="U46" i="9"/>
  <c r="U5" i="9"/>
  <c r="U7" i="9"/>
  <c r="U53" i="9"/>
  <c r="U29" i="9"/>
  <c r="U37" i="9"/>
  <c r="U56" i="9"/>
  <c r="T50" i="9"/>
  <c r="U52" i="9"/>
  <c r="U55" i="9"/>
  <c r="O31" i="9"/>
  <c r="U31" i="9" s="1"/>
  <c r="U11" i="9"/>
  <c r="U23" i="9"/>
  <c r="U25" i="9"/>
  <c r="O27" i="9"/>
  <c r="U27" i="9" s="1"/>
  <c r="U35" i="9"/>
  <c r="U38" i="9"/>
  <c r="U40" i="9"/>
  <c r="U22" i="9"/>
  <c r="O45" i="9"/>
  <c r="U45" i="9" s="1"/>
  <c r="U10" i="9"/>
  <c r="U48" i="9"/>
  <c r="O19" i="9"/>
  <c r="U19" i="9" s="1"/>
  <c r="U21" i="9"/>
  <c r="U24" i="9"/>
  <c r="U26" i="9"/>
  <c r="O34" i="9"/>
  <c r="U34" i="9" s="1"/>
  <c r="U51" i="9"/>
  <c r="U54" i="9"/>
  <c r="I57" i="9"/>
  <c r="O20" i="9"/>
  <c r="U20" i="9" s="1"/>
  <c r="U32" i="9"/>
  <c r="U12" i="9"/>
  <c r="U28" i="9"/>
  <c r="U30" i="9"/>
  <c r="U47" i="9"/>
  <c r="U18" i="9"/>
  <c r="U33" i="9"/>
  <c r="U15" i="9"/>
  <c r="U43" i="9"/>
  <c r="U49" i="9"/>
  <c r="U17" i="9"/>
  <c r="U50" i="9" l="1"/>
  <c r="U57" i="9" s="1"/>
</calcChain>
</file>

<file path=xl/sharedStrings.xml><?xml version="1.0" encoding="utf-8"?>
<sst xmlns="http://schemas.openxmlformats.org/spreadsheetml/2006/main" count="2510" uniqueCount="147">
  <si>
    <t>Nome</t>
  </si>
  <si>
    <t>Cargo</t>
  </si>
  <si>
    <t>Centro de Custo</t>
  </si>
  <si>
    <t>Remuneração</t>
  </si>
  <si>
    <t>Férias</t>
  </si>
  <si>
    <t>Hora Extra</t>
  </si>
  <si>
    <t>Auxílios e Benefícios</t>
  </si>
  <si>
    <t>Dif. de férias e 1/3</t>
  </si>
  <si>
    <t>Gratificação</t>
  </si>
  <si>
    <t>Total de rendimentos</t>
  </si>
  <si>
    <t>IR</t>
  </si>
  <si>
    <t>INSS</t>
  </si>
  <si>
    <t>Outros descontos</t>
  </si>
  <si>
    <t>Total Descontos</t>
  </si>
  <si>
    <t>Liquido Total</t>
  </si>
  <si>
    <t>Abono pecuniário</t>
  </si>
  <si>
    <t xml:space="preserve">ALBA VALERIA DO NASCIMENTO GOUVEA GUIMARÃES </t>
  </si>
  <si>
    <t xml:space="preserve">ALBERTO CAVALCANTE DOS SANTOS </t>
  </si>
  <si>
    <t xml:space="preserve">ALEKSANDRO THOMAZ AMORIM </t>
  </si>
  <si>
    <t xml:space="preserve">ALESSANDRA DE SOUSA VANDELLI CARNEIRO </t>
  </si>
  <si>
    <t>ANDERSON SOARES GASPAR</t>
  </si>
  <si>
    <t xml:space="preserve">BIANCA GONÇALVES DA SILVA </t>
  </si>
  <si>
    <t xml:space="preserve">BRENDA RODRIGUES PEREIRA DE SOUZA </t>
  </si>
  <si>
    <t>CARLA DIAS BELMONTE</t>
  </si>
  <si>
    <t>CAROLINA DANZER FERREIRA MACIEL</t>
  </si>
  <si>
    <t>CAROLINA MARTINS DE VILHENA</t>
  </si>
  <si>
    <t xml:space="preserve">DEBORA SILVA GUINTHER </t>
  </si>
  <si>
    <t xml:space="preserve">DIANE BIANCHI DA COSTA E SILVA </t>
  </si>
  <si>
    <t>ELAINE MACHADO ROSSI</t>
  </si>
  <si>
    <t xml:space="preserve">FLÁVIO VIDIGAL DE CARVALHO PEREIRA </t>
  </si>
  <si>
    <t>FRANCISCA CHAGAS ALVES RODRIGUES</t>
  </si>
  <si>
    <t>GUILHERME COSTA DA FONSECA</t>
  </si>
  <si>
    <t>GUSTAVO ADOLFO DE ARAUJO GOMES LAPIDO LOUREIRO</t>
  </si>
  <si>
    <t xml:space="preserve">GUSTAVO DA SILVA AFONSO </t>
  </si>
  <si>
    <t xml:space="preserve">IVAN DE MENEZES HONORIO </t>
  </si>
  <si>
    <t xml:space="preserve">LETICIA PINHEIRO FERNANDES </t>
  </si>
  <si>
    <t xml:space="preserve">LETICIA RIBEIRO JACOME </t>
  </si>
  <si>
    <t xml:space="preserve">MARCIA CÂMARA BANDEIRA DE FIGUEIREDO </t>
  </si>
  <si>
    <t>MARCOS ANDRE DE SOUZA RIBEIRO JUNIOR</t>
  </si>
  <si>
    <t>MARIA CAROLINA ROMÃO MAMEDE</t>
  </si>
  <si>
    <t>MARIANA DE MENEZES PIEDADE</t>
  </si>
  <si>
    <t>MARINA BURGES OLMOS</t>
  </si>
  <si>
    <t>MARITA BOOS ALVES DA SILVA</t>
  </si>
  <si>
    <t>MARTA DOS SANTOS VALIM</t>
  </si>
  <si>
    <t>MAURICIO DE ARAUJO ALVES DIAS</t>
  </si>
  <si>
    <t xml:space="preserve">MIDIÃ COZENDEY PITTA GOULART DE ALCÂNTARA </t>
  </si>
  <si>
    <t xml:space="preserve">MURILO SEARA DA SILVEIRA E AZEVEDO </t>
  </si>
  <si>
    <t xml:space="preserve">PATRICIA OLIVEIRA FAGUNDES </t>
  </si>
  <si>
    <t>RAQUEL PILLON ALMEIDA</t>
  </si>
  <si>
    <t xml:space="preserve">RICARDO DE SALES CAMACHO </t>
  </si>
  <si>
    <t xml:space="preserve">RODRIGO ABBADE PINTO DE OLIVEIRA </t>
  </si>
  <si>
    <t>RODRIGO PINHO LEITE</t>
  </si>
  <si>
    <t>ROSANE BARRETO GOMES</t>
  </si>
  <si>
    <t>SHIRLEY BARBOSA DE OLIVEIRA</t>
  </si>
  <si>
    <t>STEFANO GUIMARÃES KLAPPOTH DE MORAIS</t>
  </si>
  <si>
    <t>TAIZA DA SILVA GAMA</t>
  </si>
  <si>
    <t xml:space="preserve">TATIANA DE SOUZA MOURA </t>
  </si>
  <si>
    <t>VITOR JULIANO PANTOZZI VAZ</t>
  </si>
  <si>
    <t>ASSISTENTE TECNICO</t>
  </si>
  <si>
    <t>ASSISTENTE ADMINISTRATIVO</t>
  </si>
  <si>
    <t>GERENTE FINANCEIRO</t>
  </si>
  <si>
    <t>ASSESSOR ESPECIAL</t>
  </si>
  <si>
    <t>ESTAGIÁRIO</t>
  </si>
  <si>
    <t>ASSESSOR CHEFE DO JURIDICO</t>
  </si>
  <si>
    <t>AUDITOR</t>
  </si>
  <si>
    <t xml:space="preserve">GERENTE GERAL </t>
  </si>
  <si>
    <t>ANALISTA TECNICO</t>
  </si>
  <si>
    <t>AGENTE DE FISCALIZAÇÃO</t>
  </si>
  <si>
    <t xml:space="preserve">GERENTE ADMINISTRATIVO </t>
  </si>
  <si>
    <t>GERENTE DE FISCALIZAÇÃO</t>
  </si>
  <si>
    <t>ASSISTENTE DE SISTEMAS</t>
  </si>
  <si>
    <t>ESPECIALISTA JURIDICO</t>
  </si>
  <si>
    <t>GERENTE TECNICO</t>
  </si>
  <si>
    <t>ASSISTENTE FINANCEIRO</t>
  </si>
  <si>
    <t>CHEFE DE GABINETE DA PRESIDÊNCIA</t>
  </si>
  <si>
    <t>ASSESSOR CHEFE DE COMUNICAÇÃO</t>
  </si>
  <si>
    <t>ESPECIALISTA COMUNICAÇÃO</t>
  </si>
  <si>
    <t>ESPECIALISTA FINANCEIRO</t>
  </si>
  <si>
    <t xml:space="preserve">SECRETARIA GERAL DE MESA </t>
  </si>
  <si>
    <t xml:space="preserve">ESPECIALISTA JURIDICO </t>
  </si>
  <si>
    <t xml:space="preserve">ESPECIALISTA FINANCEIRO </t>
  </si>
  <si>
    <t>GERENCIA TECNICA/ATENDIMENTO</t>
  </si>
  <si>
    <t>SECRETARIA DA MESA</t>
  </si>
  <si>
    <t>GERENCIA FINANCEIRA</t>
  </si>
  <si>
    <t>PRESIDENCIA</t>
  </si>
  <si>
    <t xml:space="preserve">GERENCIA DE FISCALIZAÇÃO </t>
  </si>
  <si>
    <t>GERENCIA TECNICA/TECNICA</t>
  </si>
  <si>
    <t>ASSESSORIA JURIDICA</t>
  </si>
  <si>
    <t>AUDITORIA</t>
  </si>
  <si>
    <t>GERENCIA ADMINISTRATIVA</t>
  </si>
  <si>
    <t>ASSESSORIA DE TI</t>
  </si>
  <si>
    <t>ASSESSORIA DE COMUNICAÇÃO</t>
  </si>
  <si>
    <t>VT</t>
  </si>
  <si>
    <t>GERENCIA DE FISCALIZAÇÃO</t>
  </si>
  <si>
    <t>VA/VR</t>
  </si>
  <si>
    <t>ADIANTAMENTO DA 1ª PARCELA DO 13º SALÁRIO</t>
  </si>
  <si>
    <t>Total Líquido</t>
  </si>
  <si>
    <t>2ª Parcela 13º</t>
  </si>
  <si>
    <t>1ª Parcela 13º</t>
  </si>
  <si>
    <t>CYNTHIA ATTIE  - Convênio CREA-RJ / CAU/RJ</t>
  </si>
  <si>
    <t>MÊS: JANEIRO</t>
  </si>
  <si>
    <t>Desc. Indev. de horas</t>
  </si>
  <si>
    <t>ANO: 2017</t>
  </si>
  <si>
    <t>CRISTIANA PERLENGEIRO DA SILVA</t>
  </si>
  <si>
    <t>NANDERSON DE CARVALHO PANTOJA</t>
  </si>
  <si>
    <t>ANGELICA DA SILVA ARRUDA</t>
  </si>
  <si>
    <t>MARINA COELHO MENDES</t>
  </si>
  <si>
    <t>JOÃO PAULO BALSINI</t>
  </si>
  <si>
    <t>FRANCIS DAVID BARROS MARTINS</t>
  </si>
  <si>
    <t>Creche</t>
  </si>
  <si>
    <t>JESSICA ROCHA LIMA</t>
  </si>
  <si>
    <t>SUELEN MADEIRA DE ARAUJO</t>
  </si>
  <si>
    <t>NATHALIA PORTO AIELLO PRAES</t>
  </si>
  <si>
    <t>MÊS: FEVEREIRO</t>
  </si>
  <si>
    <t>MÊS: MARÇO</t>
  </si>
  <si>
    <t>Plano de saúde</t>
  </si>
  <si>
    <t>MÊS: ABRIL</t>
  </si>
  <si>
    <t>FABRICIO MATHIAS CASTELLO BRANCO</t>
  </si>
  <si>
    <t>MÊS: MAIO</t>
  </si>
  <si>
    <t>LUANA DOS SANTOS SILVA</t>
  </si>
  <si>
    <t>LUIZ FERNANDO DE ALMEIDA FREITAS</t>
  </si>
  <si>
    <t>GERENTE ADMINISTRATIVO INTERINO</t>
  </si>
  <si>
    <t>GERENTE DE FISCALIZAÇÃO INTERINO</t>
  </si>
  <si>
    <t>MÊS: JUNHO</t>
  </si>
  <si>
    <t>JULIANA FERNANDES MUNIZ</t>
  </si>
  <si>
    <t>YAN SALES RIBEIRO POOL</t>
  </si>
  <si>
    <t>JULIANA FERNANDEZ MUNIZ</t>
  </si>
  <si>
    <t>YAN SALES POOL</t>
  </si>
  <si>
    <t>TAIZA DA SILVA GAMA - Licença Médica</t>
  </si>
  <si>
    <t>MÊS: JULHO</t>
  </si>
  <si>
    <t>MÊS: AGOSTO</t>
  </si>
  <si>
    <t>MÊS: SETEMBRO</t>
  </si>
  <si>
    <t>JHONATTAS DA SILVA QUINTÃO</t>
  </si>
  <si>
    <t>JOSE NICOLAS DA SILVA BRAGA</t>
  </si>
  <si>
    <t>ASSESSOR CHEFE DA COMUNICAÇÃO</t>
  </si>
  <si>
    <t>Acordo Judicial</t>
  </si>
  <si>
    <t>JOSÉ NICOLAS BRAGA DA SILVA</t>
  </si>
  <si>
    <t>MÊS: OUTUBRO</t>
  </si>
  <si>
    <t>MÊS: NOVEMBRO</t>
  </si>
  <si>
    <t>GIOVANNA GABRIEL DAMIANI</t>
  </si>
  <si>
    <t>MÊS: DEZEMBRO</t>
  </si>
  <si>
    <t>WILL ROBSON COELHO</t>
  </si>
  <si>
    <t>SECRETARIO EXECUTIVO</t>
  </si>
  <si>
    <t>ATHIS</t>
  </si>
  <si>
    <t>Natal</t>
  </si>
  <si>
    <t>Superávit</t>
  </si>
  <si>
    <t>2ª PARCELA DO 13º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</si>
</sst>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_);[Red]\(&quot;R$ &quot;#,##0.00\)"/>
    <numFmt numFmtId="167" formatCode="&quot;R$&quot;\ #,##0.00;[Red]&quot;R$&quot;\ #,##0.00"/>
    <numFmt numFmtId="168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4" fillId="0" borderId="0"/>
    <xf numFmtId="0" fontId="5" fillId="0" borderId="0"/>
  </cellStyleXfs>
  <cellXfs count="34">
    <xf numFmtId="0" fontId="0" fillId="0" borderId="0" xfId="0"/>
    <xf numFmtId="164" fontId="2" fillId="0" borderId="0" xfId="0" applyNumberFormat="1" applyFont="1"/>
    <xf numFmtId="0" fontId="0" fillId="0" borderId="0" xfId="0" applyFont="1"/>
    <xf numFmtId="167" fontId="0" fillId="0" borderId="0" xfId="0" applyNumberFormat="1" applyFont="1"/>
    <xf numFmtId="0" fontId="9" fillId="0" borderId="0" xfId="0" applyFont="1"/>
    <xf numFmtId="0" fontId="6" fillId="0" borderId="1" xfId="2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0" fillId="0" borderId="1" xfId="1" applyFont="1" applyBorder="1"/>
    <xf numFmtId="0" fontId="6" fillId="0" borderId="1" xfId="2" applyNumberFormat="1" applyFont="1" applyFill="1" applyBorder="1" applyAlignment="1">
      <alignment horizontal="left" vertical="center"/>
    </xf>
    <xf numFmtId="166" fontId="6" fillId="0" borderId="1" xfId="3" applyNumberFormat="1" applyFont="1" applyFill="1" applyBorder="1" applyAlignment="1" applyProtection="1">
      <alignment horizontal="left" vertical="center"/>
      <protection locked="0"/>
    </xf>
    <xf numFmtId="164" fontId="7" fillId="0" borderId="1" xfId="1" applyFont="1" applyFill="1" applyBorder="1" applyAlignment="1" applyProtection="1">
      <alignment horizontal="right" vertical="top"/>
      <protection locked="0"/>
    </xf>
    <xf numFmtId="0" fontId="8" fillId="0" borderId="1" xfId="2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4" applyFont="1" applyFill="1" applyBorder="1" applyAlignment="1" applyProtection="1">
      <alignment horizontal="left"/>
      <protection locked="0"/>
    </xf>
    <xf numFmtId="0" fontId="6" fillId="0" borderId="1" xfId="4" applyFont="1" applyFill="1" applyBorder="1" applyAlignment="1" applyProtection="1">
      <alignment horizontal="left"/>
      <protection locked="0"/>
    </xf>
    <xf numFmtId="166" fontId="6" fillId="0" borderId="1" xfId="3" applyNumberFormat="1" applyFont="1" applyFill="1" applyBorder="1" applyAlignment="1" applyProtection="1">
      <alignment horizontal="left"/>
      <protection locked="0"/>
    </xf>
    <xf numFmtId="164" fontId="0" fillId="0" borderId="1" xfId="1" applyFont="1" applyFill="1" applyBorder="1"/>
    <xf numFmtId="0" fontId="10" fillId="0" borderId="0" xfId="2" applyNumberFormat="1" applyFont="1" applyFill="1" applyBorder="1" applyAlignment="1">
      <alignment horizontal="left"/>
    </xf>
    <xf numFmtId="0" fontId="11" fillId="2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0" fillId="0" borderId="1" xfId="0" applyFont="1" applyBorder="1"/>
    <xf numFmtId="164" fontId="8" fillId="0" borderId="1" xfId="1" applyFont="1" applyFill="1" applyBorder="1"/>
    <xf numFmtId="164" fontId="8" fillId="0" borderId="1" xfId="1" applyFont="1" applyBorder="1"/>
    <xf numFmtId="164" fontId="13" fillId="0" borderId="1" xfId="1" applyFont="1" applyFill="1" applyBorder="1" applyAlignment="1" applyProtection="1">
      <alignment horizontal="right" vertical="top"/>
      <protection locked="0"/>
    </xf>
    <xf numFmtId="2" fontId="0" fillId="0" borderId="1" xfId="0" applyNumberFormat="1" applyFont="1" applyBorder="1"/>
    <xf numFmtId="164" fontId="0" fillId="3" borderId="1" xfId="1" applyFont="1" applyFill="1" applyBorder="1"/>
    <xf numFmtId="0" fontId="0" fillId="0" borderId="1" xfId="1" applyNumberFormat="1" applyFont="1" applyFill="1" applyBorder="1"/>
    <xf numFmtId="168" fontId="0" fillId="0" borderId="1" xfId="1" applyNumberFormat="1" applyFont="1" applyBorder="1"/>
    <xf numFmtId="44" fontId="0" fillId="0" borderId="1" xfId="0" applyNumberFormat="1" applyFont="1" applyBorder="1"/>
    <xf numFmtId="0" fontId="6" fillId="0" borderId="3" xfId="0" applyFont="1" applyFill="1" applyBorder="1" applyAlignment="1">
      <alignment horizontal="left"/>
    </xf>
    <xf numFmtId="44" fontId="0" fillId="0" borderId="1" xfId="0" applyNumberFormat="1" applyFont="1" applyFill="1" applyBorder="1"/>
    <xf numFmtId="44" fontId="2" fillId="0" borderId="0" xfId="0" applyNumberFormat="1" applyFont="1"/>
  </cellXfs>
  <cellStyles count="6">
    <cellStyle name="Moeda" xfId="1" builtinId="4"/>
    <cellStyle name="Normal" xfId="0" builtinId="0"/>
    <cellStyle name="Normal 2" xfId="5"/>
    <cellStyle name="Normal 3" xfId="4"/>
    <cellStyle name="Normal_Plan_5" xfId="2"/>
    <cellStyle name="Separador de milhare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zoomScaleNormal="10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bestFit="1" customWidth="1"/>
    <col min="5" max="5" width="14.85546875" style="2" bestFit="1" customWidth="1"/>
    <col min="6" max="6" width="19.140625" style="2" customWidth="1"/>
    <col min="7" max="7" width="12.28515625" style="2" customWidth="1"/>
    <col min="8" max="10" width="22" style="2" hidden="1" customWidth="1"/>
    <col min="11" max="11" width="22" style="2" customWidth="1"/>
    <col min="12" max="12" width="19.7109375" style="2" customWidth="1"/>
    <col min="13" max="13" width="22.140625" style="2" customWidth="1"/>
    <col min="14" max="14" width="16.28515625" style="2" customWidth="1"/>
    <col min="15" max="15" width="20.28515625" style="2" customWidth="1"/>
    <col min="16" max="16" width="13" style="2" bestFit="1" customWidth="1"/>
    <col min="17" max="17" width="12.140625" style="2" bestFit="1" customWidth="1"/>
    <col min="18" max="18" width="18.85546875" style="2" bestFit="1" customWidth="1"/>
    <col min="19" max="19" width="11.42578125" style="2" bestFit="1" customWidth="1"/>
    <col min="20" max="20" width="17.5703125" style="2" bestFit="1" customWidth="1"/>
    <col min="21" max="21" width="14.85546875" style="2" bestFit="1" customWidth="1"/>
    <col min="22" max="16384" width="9.140625" style="2"/>
  </cols>
  <sheetData>
    <row r="1" spans="1:21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x14ac:dyDescent="0.3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1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109</v>
      </c>
      <c r="K4" s="21" t="s">
        <v>6</v>
      </c>
      <c r="L4" s="21" t="s">
        <v>7</v>
      </c>
      <c r="M4" s="21" t="s">
        <v>101</v>
      </c>
      <c r="N4" s="20" t="s">
        <v>8</v>
      </c>
      <c r="O4" s="21" t="s">
        <v>9</v>
      </c>
      <c r="P4" s="21" t="s">
        <v>10</v>
      </c>
      <c r="Q4" s="21" t="s">
        <v>11</v>
      </c>
      <c r="R4" s="21" t="s">
        <v>12</v>
      </c>
      <c r="S4" s="21" t="s">
        <v>92</v>
      </c>
      <c r="T4" s="20" t="s">
        <v>13</v>
      </c>
      <c r="U4" s="21" t="s">
        <v>14</v>
      </c>
    </row>
    <row r="5" spans="1:21" x14ac:dyDescent="0.25">
      <c r="A5" s="5" t="s">
        <v>16</v>
      </c>
      <c r="B5" s="6" t="s">
        <v>58</v>
      </c>
      <c r="C5" s="6" t="s">
        <v>81</v>
      </c>
      <c r="D5" s="23">
        <v>1641.72</v>
      </c>
      <c r="E5" s="24">
        <v>1876.26</v>
      </c>
      <c r="F5" s="24"/>
      <c r="G5" s="24">
        <f>0.44+0.07</f>
        <v>0.51</v>
      </c>
      <c r="H5" s="7">
        <v>270</v>
      </c>
      <c r="I5" s="7">
        <f>200+40</f>
        <v>240</v>
      </c>
      <c r="J5" s="7"/>
      <c r="K5" s="23">
        <f>H5+I5+J5</f>
        <v>510</v>
      </c>
      <c r="L5" s="24">
        <f>6.23+627.84</f>
        <v>634.07000000000005</v>
      </c>
      <c r="M5" s="24"/>
      <c r="N5" s="24"/>
      <c r="O5" s="23">
        <f t="shared" ref="O5:O36" si="0">D5+E5+F5+G5+K5+L5+M5+N5</f>
        <v>4662.5600000000004</v>
      </c>
      <c r="P5" s="24">
        <v>28.6</v>
      </c>
      <c r="Q5" s="24">
        <f>229.13+226.02</f>
        <v>455.15</v>
      </c>
      <c r="R5" s="24">
        <f>7.04+8.79+11+16.42</f>
        <v>43.25</v>
      </c>
      <c r="S5" s="24">
        <v>70.36</v>
      </c>
      <c r="T5" s="23">
        <f t="shared" ref="T5:T36" si="1">P5+Q5+R5+S5</f>
        <v>597.36</v>
      </c>
      <c r="U5" s="23">
        <f t="shared" ref="U5:U36" si="2">O5-T5</f>
        <v>4065.2000000000003</v>
      </c>
    </row>
    <row r="6" spans="1:21" x14ac:dyDescent="0.25">
      <c r="A6" s="5" t="s">
        <v>17</v>
      </c>
      <c r="B6" s="6" t="s">
        <v>59</v>
      </c>
      <c r="C6" s="6" t="s">
        <v>82</v>
      </c>
      <c r="D6" s="23">
        <v>3517.98</v>
      </c>
      <c r="E6" s="24"/>
      <c r="F6" s="24"/>
      <c r="G6" s="24">
        <f>28.58+4.76</f>
        <v>33.339999999999996</v>
      </c>
      <c r="H6" s="7">
        <v>600</v>
      </c>
      <c r="I6" s="7"/>
      <c r="J6" s="7">
        <v>250</v>
      </c>
      <c r="K6" s="23">
        <f>H6+I6+J6</f>
        <v>850</v>
      </c>
      <c r="L6" s="24"/>
      <c r="M6" s="24"/>
      <c r="N6" s="24"/>
      <c r="O6" s="23">
        <f t="shared" si="0"/>
        <v>4401.32</v>
      </c>
      <c r="P6" s="24">
        <v>65.81</v>
      </c>
      <c r="Q6" s="24">
        <v>390.65</v>
      </c>
      <c r="R6" s="24"/>
      <c r="S6" s="24"/>
      <c r="T6" s="23">
        <f t="shared" si="1"/>
        <v>456.46</v>
      </c>
      <c r="U6" s="23">
        <f t="shared" si="2"/>
        <v>3944.8599999999997</v>
      </c>
    </row>
    <row r="7" spans="1:21" x14ac:dyDescent="0.25">
      <c r="A7" s="8" t="s">
        <v>18</v>
      </c>
      <c r="B7" s="9" t="s">
        <v>60</v>
      </c>
      <c r="C7" s="9" t="s">
        <v>83</v>
      </c>
      <c r="D7" s="23">
        <v>12339.48</v>
      </c>
      <c r="E7" s="24"/>
      <c r="F7" s="24"/>
      <c r="G7" s="24"/>
      <c r="H7" s="7">
        <v>600</v>
      </c>
      <c r="I7" s="7"/>
      <c r="J7" s="7"/>
      <c r="K7" s="23">
        <f t="shared" ref="K7:K56" si="3">H7+I7+J7</f>
        <v>600</v>
      </c>
      <c r="L7" s="24"/>
      <c r="M7" s="24"/>
      <c r="N7" s="24"/>
      <c r="O7" s="23">
        <f t="shared" si="0"/>
        <v>12939.48</v>
      </c>
      <c r="P7" s="24">
        <v>2304.54</v>
      </c>
      <c r="Q7" s="24">
        <v>608.44000000000005</v>
      </c>
      <c r="R7" s="24"/>
      <c r="S7" s="24"/>
      <c r="T7" s="23">
        <f t="shared" si="1"/>
        <v>2912.98</v>
      </c>
      <c r="U7" s="23">
        <f t="shared" si="2"/>
        <v>10026.5</v>
      </c>
    </row>
    <row r="8" spans="1:21" x14ac:dyDescent="0.25">
      <c r="A8" s="8" t="s">
        <v>19</v>
      </c>
      <c r="B8" s="9" t="s">
        <v>61</v>
      </c>
      <c r="C8" s="9" t="s">
        <v>84</v>
      </c>
      <c r="D8" s="23">
        <v>2574.87</v>
      </c>
      <c r="E8" s="24"/>
      <c r="F8" s="24"/>
      <c r="G8" s="24"/>
      <c r="H8" s="7">
        <v>300</v>
      </c>
      <c r="I8" s="7">
        <v>76</v>
      </c>
      <c r="J8" s="7"/>
      <c r="K8" s="23">
        <f t="shared" si="3"/>
        <v>376</v>
      </c>
      <c r="L8" s="24"/>
      <c r="M8" s="24"/>
      <c r="N8" s="24">
        <v>1981.45</v>
      </c>
      <c r="O8" s="23">
        <f t="shared" si="0"/>
        <v>4932.32</v>
      </c>
      <c r="P8" s="24">
        <v>253.41</v>
      </c>
      <c r="Q8" s="24">
        <v>223.63</v>
      </c>
      <c r="R8" s="24"/>
      <c r="S8" s="24">
        <v>76</v>
      </c>
      <c r="T8" s="23">
        <f t="shared" si="1"/>
        <v>553.04</v>
      </c>
      <c r="U8" s="23">
        <f t="shared" si="2"/>
        <v>4379.28</v>
      </c>
    </row>
    <row r="9" spans="1:21" x14ac:dyDescent="0.25">
      <c r="A9" s="6" t="s">
        <v>20</v>
      </c>
      <c r="B9" s="6" t="s">
        <v>58</v>
      </c>
      <c r="C9" s="6" t="s">
        <v>81</v>
      </c>
      <c r="D9" s="23">
        <v>3166.18</v>
      </c>
      <c r="E9" s="24">
        <v>351.8</v>
      </c>
      <c r="F9" s="24"/>
      <c r="G9" s="24"/>
      <c r="H9" s="7">
        <v>570</v>
      </c>
      <c r="I9" s="7">
        <v>300.2</v>
      </c>
      <c r="J9" s="7"/>
      <c r="K9" s="23">
        <f t="shared" si="3"/>
        <v>870.2</v>
      </c>
      <c r="L9" s="24">
        <f>1.28+0.26+0.04+0.21+117.87</f>
        <v>119.66000000000001</v>
      </c>
      <c r="M9" s="24"/>
      <c r="N9" s="24"/>
      <c r="O9" s="23">
        <f t="shared" si="0"/>
        <v>4507.84</v>
      </c>
      <c r="P9" s="24">
        <v>53.26</v>
      </c>
      <c r="Q9" s="24">
        <f>362.42+37.72</f>
        <v>400.14</v>
      </c>
      <c r="R9" s="24">
        <f>22+31.66</f>
        <v>53.66</v>
      </c>
      <c r="S9" s="24">
        <v>147.76</v>
      </c>
      <c r="T9" s="23">
        <f t="shared" si="1"/>
        <v>654.81999999999994</v>
      </c>
      <c r="U9" s="23">
        <f t="shared" si="2"/>
        <v>3853.0200000000004</v>
      </c>
    </row>
    <row r="10" spans="1:21" x14ac:dyDescent="0.25">
      <c r="A10" s="5" t="s">
        <v>105</v>
      </c>
      <c r="B10" s="6" t="s">
        <v>62</v>
      </c>
      <c r="C10" s="6" t="s">
        <v>83</v>
      </c>
      <c r="D10" s="16">
        <v>1308.92</v>
      </c>
      <c r="E10" s="7"/>
      <c r="F10" s="7"/>
      <c r="G10" s="7"/>
      <c r="H10" s="7">
        <v>840</v>
      </c>
      <c r="I10" s="7">
        <v>229.6</v>
      </c>
      <c r="J10" s="7"/>
      <c r="K10" s="16">
        <f t="shared" si="3"/>
        <v>1069.5999999999999</v>
      </c>
      <c r="L10" s="7"/>
      <c r="M10" s="7"/>
      <c r="N10" s="7"/>
      <c r="O10" s="16">
        <f t="shared" si="0"/>
        <v>2378.52</v>
      </c>
      <c r="P10" s="7"/>
      <c r="Q10" s="7"/>
      <c r="R10" s="7"/>
      <c r="S10" s="7"/>
      <c r="T10" s="16">
        <f t="shared" si="1"/>
        <v>0</v>
      </c>
      <c r="U10" s="16">
        <f t="shared" si="2"/>
        <v>2378.52</v>
      </c>
    </row>
    <row r="11" spans="1:21" x14ac:dyDescent="0.25">
      <c r="A11" s="5" t="s">
        <v>21</v>
      </c>
      <c r="B11" s="6" t="s">
        <v>58</v>
      </c>
      <c r="C11" s="6" t="s">
        <v>85</v>
      </c>
      <c r="D11" s="23">
        <v>2228.0500000000002</v>
      </c>
      <c r="E11" s="24">
        <v>1289.93</v>
      </c>
      <c r="F11" s="24"/>
      <c r="G11" s="24"/>
      <c r="H11" s="7">
        <v>360</v>
      </c>
      <c r="I11" s="7">
        <v>91.2</v>
      </c>
      <c r="J11" s="7"/>
      <c r="K11" s="23">
        <f t="shared" si="3"/>
        <v>451.2</v>
      </c>
      <c r="L11" s="24">
        <v>429.98</v>
      </c>
      <c r="M11" s="24"/>
      <c r="N11" s="24"/>
      <c r="O11" s="23">
        <f t="shared" si="0"/>
        <v>4399.16</v>
      </c>
      <c r="P11" s="24">
        <v>22.28</v>
      </c>
      <c r="Q11" s="24">
        <f>279.49+154.79</f>
        <v>434.28</v>
      </c>
      <c r="R11" s="24"/>
      <c r="S11" s="24">
        <v>84.44</v>
      </c>
      <c r="T11" s="23">
        <f t="shared" si="1"/>
        <v>541</v>
      </c>
      <c r="U11" s="23">
        <f t="shared" si="2"/>
        <v>3858.16</v>
      </c>
    </row>
    <row r="12" spans="1:21" x14ac:dyDescent="0.25">
      <c r="A12" s="5" t="s">
        <v>22</v>
      </c>
      <c r="B12" s="6" t="s">
        <v>62</v>
      </c>
      <c r="C12" s="6" t="s">
        <v>86</v>
      </c>
      <c r="D12" s="16">
        <v>1308.92</v>
      </c>
      <c r="E12" s="7"/>
      <c r="F12" s="7"/>
      <c r="G12" s="7"/>
      <c r="H12" s="7">
        <v>300</v>
      </c>
      <c r="I12" s="7">
        <v>158</v>
      </c>
      <c r="J12" s="7"/>
      <c r="K12" s="16">
        <f t="shared" si="3"/>
        <v>458</v>
      </c>
      <c r="L12" s="7"/>
      <c r="M12" s="7"/>
      <c r="N12" s="7"/>
      <c r="O12" s="16">
        <f t="shared" si="0"/>
        <v>1766.92</v>
      </c>
      <c r="P12" s="7"/>
      <c r="Q12" s="7"/>
      <c r="R12" s="7"/>
      <c r="S12" s="7"/>
      <c r="T12" s="16">
        <f t="shared" si="1"/>
        <v>0</v>
      </c>
      <c r="U12" s="16">
        <f t="shared" si="2"/>
        <v>1766.92</v>
      </c>
    </row>
    <row r="13" spans="1:21" x14ac:dyDescent="0.25">
      <c r="A13" s="6" t="s">
        <v>23</v>
      </c>
      <c r="B13" s="6" t="s">
        <v>63</v>
      </c>
      <c r="C13" s="6" t="s">
        <v>87</v>
      </c>
      <c r="D13" s="23">
        <v>9395.69</v>
      </c>
      <c r="E13" s="25"/>
      <c r="F13" s="24"/>
      <c r="G13" s="24"/>
      <c r="H13" s="7">
        <v>600</v>
      </c>
      <c r="I13" s="7"/>
      <c r="J13" s="7"/>
      <c r="K13" s="23">
        <f t="shared" si="3"/>
        <v>600</v>
      </c>
      <c r="L13" s="25"/>
      <c r="M13" s="24"/>
      <c r="N13" s="24"/>
      <c r="O13" s="23">
        <f t="shared" si="0"/>
        <v>9995.69</v>
      </c>
      <c r="P13" s="24">
        <v>1547.13</v>
      </c>
      <c r="Q13" s="24">
        <v>608.44000000000005</v>
      </c>
      <c r="R13" s="24"/>
      <c r="S13" s="24"/>
      <c r="T13" s="23">
        <f t="shared" si="1"/>
        <v>2155.5700000000002</v>
      </c>
      <c r="U13" s="23">
        <f t="shared" si="2"/>
        <v>7840.1200000000008</v>
      </c>
    </row>
    <row r="14" spans="1:21" x14ac:dyDescent="0.25">
      <c r="A14" s="6" t="s">
        <v>24</v>
      </c>
      <c r="B14" s="6" t="s">
        <v>58</v>
      </c>
      <c r="C14" s="6" t="s">
        <v>85</v>
      </c>
      <c r="D14" s="23">
        <v>3517.98</v>
      </c>
      <c r="E14" s="24"/>
      <c r="F14" s="24"/>
      <c r="G14" s="24"/>
      <c r="H14" s="7">
        <v>600</v>
      </c>
      <c r="I14" s="7">
        <v>331.8</v>
      </c>
      <c r="J14" s="7"/>
      <c r="K14" s="23">
        <f t="shared" si="3"/>
        <v>931.8</v>
      </c>
      <c r="L14" s="24"/>
      <c r="M14" s="24"/>
      <c r="N14" s="24"/>
      <c r="O14" s="23">
        <f t="shared" si="0"/>
        <v>4449.78</v>
      </c>
      <c r="P14" s="24">
        <v>114.85</v>
      </c>
      <c r="Q14" s="24">
        <v>386.98</v>
      </c>
      <c r="R14" s="24"/>
      <c r="S14" s="24">
        <v>147.76</v>
      </c>
      <c r="T14" s="23">
        <f t="shared" si="1"/>
        <v>649.59</v>
      </c>
      <c r="U14" s="23">
        <f t="shared" si="2"/>
        <v>3800.1899999999996</v>
      </c>
    </row>
    <row r="15" spans="1:21" x14ac:dyDescent="0.25">
      <c r="A15" s="11" t="s">
        <v>25</v>
      </c>
      <c r="B15" s="12" t="s">
        <v>64</v>
      </c>
      <c r="C15" s="12" t="s">
        <v>88</v>
      </c>
      <c r="D15" s="23">
        <v>9395.69</v>
      </c>
      <c r="E15" s="24"/>
      <c r="F15" s="24"/>
      <c r="G15" s="24"/>
      <c r="H15" s="7">
        <v>450</v>
      </c>
      <c r="I15" s="7">
        <v>131.19999999999999</v>
      </c>
      <c r="J15" s="7"/>
      <c r="K15" s="23">
        <f t="shared" si="3"/>
        <v>581.20000000000005</v>
      </c>
      <c r="L15" s="24"/>
      <c r="M15" s="24"/>
      <c r="N15" s="24"/>
      <c r="O15" s="23">
        <f t="shared" si="0"/>
        <v>9976.8900000000012</v>
      </c>
      <c r="P15" s="24">
        <v>1547.13</v>
      </c>
      <c r="Q15" s="24">
        <v>608.44000000000005</v>
      </c>
      <c r="R15" s="24">
        <v>131.19999999999999</v>
      </c>
      <c r="S15" s="24"/>
      <c r="T15" s="23">
        <f t="shared" si="1"/>
        <v>2286.77</v>
      </c>
      <c r="U15" s="23">
        <f t="shared" si="2"/>
        <v>7690.1200000000008</v>
      </c>
    </row>
    <row r="16" spans="1:21" x14ac:dyDescent="0.25">
      <c r="A16" s="5" t="s">
        <v>103</v>
      </c>
      <c r="B16" s="6" t="s">
        <v>62</v>
      </c>
      <c r="C16" s="6" t="s">
        <v>89</v>
      </c>
      <c r="D16" s="16">
        <v>1308.92</v>
      </c>
      <c r="E16" s="7"/>
      <c r="F16" s="7"/>
      <c r="G16" s="7"/>
      <c r="H16" s="7">
        <v>300</v>
      </c>
      <c r="I16" s="7">
        <f>143+33</f>
        <v>176</v>
      </c>
      <c r="J16" s="7"/>
      <c r="K16" s="16">
        <f t="shared" si="3"/>
        <v>476</v>
      </c>
      <c r="L16" s="7"/>
      <c r="M16" s="7"/>
      <c r="N16" s="7"/>
      <c r="O16" s="16">
        <f t="shared" si="0"/>
        <v>1784.92</v>
      </c>
      <c r="P16" s="7"/>
      <c r="Q16" s="7"/>
      <c r="R16" s="7"/>
      <c r="S16" s="7"/>
      <c r="T16" s="16">
        <f t="shared" si="1"/>
        <v>0</v>
      </c>
      <c r="U16" s="16">
        <f t="shared" si="2"/>
        <v>1784.92</v>
      </c>
    </row>
    <row r="17" spans="1:21" x14ac:dyDescent="0.25">
      <c r="A17" s="11" t="s">
        <v>99</v>
      </c>
      <c r="B17" s="13" t="s">
        <v>65</v>
      </c>
      <c r="C17" s="13" t="s">
        <v>84</v>
      </c>
      <c r="D17" s="23"/>
      <c r="E17" s="24"/>
      <c r="F17" s="24"/>
      <c r="G17" s="24"/>
      <c r="H17" s="7"/>
      <c r="I17" s="7"/>
      <c r="J17" s="7"/>
      <c r="K17" s="23">
        <f t="shared" si="3"/>
        <v>0</v>
      </c>
      <c r="L17" s="24"/>
      <c r="M17" s="24"/>
      <c r="N17" s="24">
        <v>5426.21</v>
      </c>
      <c r="O17" s="23">
        <f t="shared" si="0"/>
        <v>5426.21</v>
      </c>
      <c r="P17" s="24">
        <v>570.71</v>
      </c>
      <c r="Q17" s="24"/>
      <c r="R17" s="24"/>
      <c r="S17" s="24"/>
      <c r="T17" s="23">
        <f t="shared" si="1"/>
        <v>570.71</v>
      </c>
      <c r="U17" s="23">
        <f t="shared" si="2"/>
        <v>4855.5</v>
      </c>
    </row>
    <row r="18" spans="1:21" x14ac:dyDescent="0.25">
      <c r="A18" s="5" t="s">
        <v>26</v>
      </c>
      <c r="B18" s="6" t="s">
        <v>58</v>
      </c>
      <c r="C18" s="6" t="s">
        <v>81</v>
      </c>
      <c r="D18" s="23">
        <v>3517.98</v>
      </c>
      <c r="E18" s="24"/>
      <c r="F18" s="24"/>
      <c r="G18" s="24">
        <f>105.54+17.59</f>
        <v>123.13000000000001</v>
      </c>
      <c r="H18" s="7">
        <v>600</v>
      </c>
      <c r="I18" s="7">
        <v>331.8</v>
      </c>
      <c r="J18" s="7"/>
      <c r="K18" s="23">
        <f t="shared" si="3"/>
        <v>931.8</v>
      </c>
      <c r="L18" s="24"/>
      <c r="M18" s="24"/>
      <c r="N18" s="24"/>
      <c r="O18" s="23">
        <f t="shared" si="0"/>
        <v>4572.91</v>
      </c>
      <c r="P18" s="24">
        <v>131.29</v>
      </c>
      <c r="Q18" s="24">
        <v>400.52</v>
      </c>
      <c r="R18" s="24">
        <f>11+35.18</f>
        <v>46.18</v>
      </c>
      <c r="S18" s="24">
        <v>147.76</v>
      </c>
      <c r="T18" s="23">
        <f t="shared" si="1"/>
        <v>725.74999999999989</v>
      </c>
      <c r="U18" s="23">
        <f t="shared" si="2"/>
        <v>3847.16</v>
      </c>
    </row>
    <row r="19" spans="1:21" x14ac:dyDescent="0.25">
      <c r="A19" s="5" t="s">
        <v>27</v>
      </c>
      <c r="B19" s="6" t="s">
        <v>66</v>
      </c>
      <c r="C19" s="6" t="s">
        <v>86</v>
      </c>
      <c r="D19" s="23">
        <v>6436.9</v>
      </c>
      <c r="E19" s="24">
        <v>1609.22</v>
      </c>
      <c r="F19" s="24"/>
      <c r="G19" s="24">
        <f>12.07+181.04+32.19</f>
        <v>225.29999999999998</v>
      </c>
      <c r="H19" s="7">
        <v>330</v>
      </c>
      <c r="I19" s="7">
        <v>172.2</v>
      </c>
      <c r="J19" s="7"/>
      <c r="K19" s="23">
        <f t="shared" si="3"/>
        <v>502.2</v>
      </c>
      <c r="L19" s="24">
        <f>29.83+37.16+548.01</f>
        <v>615</v>
      </c>
      <c r="M19" s="24"/>
      <c r="N19" s="24"/>
      <c r="O19" s="23">
        <f t="shared" si="0"/>
        <v>9388.6200000000008</v>
      </c>
      <c r="P19" s="24">
        <f>826.44</f>
        <v>826.44</v>
      </c>
      <c r="Q19" s="24">
        <f>411.16+197.28</f>
        <v>608.44000000000005</v>
      </c>
      <c r="R19" s="24">
        <f>4.02+80.46</f>
        <v>84.47999999999999</v>
      </c>
      <c r="S19" s="24">
        <v>172.2</v>
      </c>
      <c r="T19" s="23">
        <f t="shared" si="1"/>
        <v>1691.5600000000002</v>
      </c>
      <c r="U19" s="23">
        <f t="shared" si="2"/>
        <v>7697.06</v>
      </c>
    </row>
    <row r="20" spans="1:21" x14ac:dyDescent="0.25">
      <c r="A20" s="5" t="s">
        <v>28</v>
      </c>
      <c r="B20" s="6" t="s">
        <v>67</v>
      </c>
      <c r="C20" s="6" t="s">
        <v>85</v>
      </c>
      <c r="D20" s="23">
        <v>8046.12</v>
      </c>
      <c r="E20" s="24"/>
      <c r="F20" s="24"/>
      <c r="G20" s="24"/>
      <c r="H20" s="7">
        <v>600</v>
      </c>
      <c r="I20" s="7"/>
      <c r="J20" s="7"/>
      <c r="K20" s="23">
        <f t="shared" si="3"/>
        <v>600</v>
      </c>
      <c r="L20" s="24"/>
      <c r="M20" s="24"/>
      <c r="N20" s="24"/>
      <c r="O20" s="23">
        <f t="shared" si="0"/>
        <v>8646.119999999999</v>
      </c>
      <c r="P20" s="24">
        <v>1176</v>
      </c>
      <c r="Q20" s="24">
        <v>608.44000000000005</v>
      </c>
      <c r="R20" s="24">
        <f>22</f>
        <v>22</v>
      </c>
      <c r="S20" s="24"/>
      <c r="T20" s="23">
        <f t="shared" si="1"/>
        <v>1806.44</v>
      </c>
      <c r="U20" s="23">
        <f t="shared" si="2"/>
        <v>6839.6799999999985</v>
      </c>
    </row>
    <row r="21" spans="1:21" x14ac:dyDescent="0.25">
      <c r="A21" s="5" t="s">
        <v>29</v>
      </c>
      <c r="B21" s="6" t="s">
        <v>68</v>
      </c>
      <c r="C21" s="6" t="s">
        <v>89</v>
      </c>
      <c r="D21" s="23">
        <v>12339.48</v>
      </c>
      <c r="E21" s="24"/>
      <c r="F21" s="24"/>
      <c r="G21" s="24"/>
      <c r="H21" s="7">
        <v>600</v>
      </c>
      <c r="I21" s="7"/>
      <c r="J21" s="7"/>
      <c r="K21" s="23">
        <f t="shared" si="3"/>
        <v>600</v>
      </c>
      <c r="L21" s="24"/>
      <c r="M21" s="24"/>
      <c r="N21" s="24"/>
      <c r="O21" s="23">
        <f t="shared" si="0"/>
        <v>12939.48</v>
      </c>
      <c r="P21" s="24">
        <v>2356.6799999999998</v>
      </c>
      <c r="Q21" s="24">
        <v>608.44000000000005</v>
      </c>
      <c r="R21" s="24"/>
      <c r="S21" s="24"/>
      <c r="T21" s="23">
        <f t="shared" si="1"/>
        <v>2965.12</v>
      </c>
      <c r="U21" s="23">
        <f t="shared" si="2"/>
        <v>9974.36</v>
      </c>
    </row>
    <row r="22" spans="1:21" x14ac:dyDescent="0.25">
      <c r="A22" s="5" t="s">
        <v>108</v>
      </c>
      <c r="B22" s="6" t="s">
        <v>62</v>
      </c>
      <c r="C22" s="6" t="s">
        <v>87</v>
      </c>
      <c r="D22" s="16">
        <v>1308.92</v>
      </c>
      <c r="E22" s="7"/>
      <c r="F22" s="7"/>
      <c r="G22" s="7"/>
      <c r="H22" s="7">
        <v>300</v>
      </c>
      <c r="I22" s="7">
        <f>130+30</f>
        <v>160</v>
      </c>
      <c r="J22" s="7"/>
      <c r="K22" s="16">
        <f t="shared" si="3"/>
        <v>460</v>
      </c>
      <c r="L22" s="7"/>
      <c r="M22" s="7"/>
      <c r="N22" s="7"/>
      <c r="O22" s="16">
        <f t="shared" si="0"/>
        <v>1768.92</v>
      </c>
      <c r="P22" s="7"/>
      <c r="Q22" s="7"/>
      <c r="R22" s="7"/>
      <c r="S22" s="7"/>
      <c r="T22" s="16">
        <f t="shared" si="1"/>
        <v>0</v>
      </c>
      <c r="U22" s="16">
        <f t="shared" si="2"/>
        <v>1768.92</v>
      </c>
    </row>
    <row r="23" spans="1:21" x14ac:dyDescent="0.25">
      <c r="A23" s="5" t="s">
        <v>30</v>
      </c>
      <c r="B23" s="6" t="s">
        <v>62</v>
      </c>
      <c r="C23" s="6" t="s">
        <v>89</v>
      </c>
      <c r="D23" s="16">
        <v>1308.92</v>
      </c>
      <c r="E23" s="7"/>
      <c r="F23" s="7"/>
      <c r="G23" s="7"/>
      <c r="H23" s="7">
        <v>330</v>
      </c>
      <c r="I23" s="7">
        <v>90.2</v>
      </c>
      <c r="J23" s="7"/>
      <c r="K23" s="16">
        <f t="shared" si="3"/>
        <v>420.2</v>
      </c>
      <c r="L23" s="7"/>
      <c r="M23" s="7"/>
      <c r="N23" s="7"/>
      <c r="O23" s="16">
        <f t="shared" si="0"/>
        <v>1729.1200000000001</v>
      </c>
      <c r="P23" s="7"/>
      <c r="Q23" s="7"/>
      <c r="R23" s="7"/>
      <c r="S23" s="7"/>
      <c r="T23" s="16">
        <f t="shared" si="1"/>
        <v>0</v>
      </c>
      <c r="U23" s="16">
        <f t="shared" si="2"/>
        <v>1729.1200000000001</v>
      </c>
    </row>
    <row r="24" spans="1:21" x14ac:dyDescent="0.25">
      <c r="A24" s="5" t="s">
        <v>31</v>
      </c>
      <c r="B24" s="14" t="s">
        <v>69</v>
      </c>
      <c r="C24" s="6" t="s">
        <v>85</v>
      </c>
      <c r="D24" s="23">
        <v>12339.48</v>
      </c>
      <c r="E24" s="24"/>
      <c r="F24" s="24"/>
      <c r="G24" s="24"/>
      <c r="H24" s="7">
        <v>600</v>
      </c>
      <c r="I24" s="7">
        <f>273+63</f>
        <v>336</v>
      </c>
      <c r="J24" s="7"/>
      <c r="K24" s="23">
        <f t="shared" si="3"/>
        <v>936</v>
      </c>
      <c r="L24" s="24"/>
      <c r="M24" s="24"/>
      <c r="N24" s="24"/>
      <c r="O24" s="23">
        <f t="shared" si="0"/>
        <v>13275.48</v>
      </c>
      <c r="P24" s="24">
        <v>2356.6799999999998</v>
      </c>
      <c r="Q24" s="24">
        <v>608.44000000000005</v>
      </c>
      <c r="R24" s="24">
        <f>11</f>
        <v>11</v>
      </c>
      <c r="S24" s="24">
        <v>273</v>
      </c>
      <c r="T24" s="23">
        <f t="shared" si="1"/>
        <v>3249.12</v>
      </c>
      <c r="U24" s="23">
        <f t="shared" si="2"/>
        <v>10026.36</v>
      </c>
    </row>
    <row r="25" spans="1:21" x14ac:dyDescent="0.25">
      <c r="A25" s="5" t="s">
        <v>32</v>
      </c>
      <c r="B25" s="6" t="s">
        <v>70</v>
      </c>
      <c r="C25" s="6" t="s">
        <v>90</v>
      </c>
      <c r="D25" s="23">
        <v>1172.6600000000001</v>
      </c>
      <c r="E25" s="24">
        <v>2345.3200000000002</v>
      </c>
      <c r="F25" s="24"/>
      <c r="G25" s="24">
        <f>24.19+4.03</f>
        <v>28.220000000000002</v>
      </c>
      <c r="H25" s="7">
        <v>210</v>
      </c>
      <c r="I25" s="7"/>
      <c r="J25" s="7"/>
      <c r="K25" s="23">
        <f t="shared" si="3"/>
        <v>210</v>
      </c>
      <c r="L25" s="24">
        <f>50.91+1.32+12.52+0.22+802.09</f>
        <v>867.06000000000006</v>
      </c>
      <c r="M25" s="24"/>
      <c r="N25" s="24"/>
      <c r="O25" s="23">
        <f t="shared" si="0"/>
        <v>4623.26</v>
      </c>
      <c r="P25" s="24">
        <v>73.510000000000005</v>
      </c>
      <c r="Q25" s="24">
        <f>106.27+352.92</f>
        <v>459.19</v>
      </c>
      <c r="R25" s="24">
        <f>39.28+195.54+11.73</f>
        <v>246.54999999999998</v>
      </c>
      <c r="S25" s="24"/>
      <c r="T25" s="23">
        <f t="shared" si="1"/>
        <v>779.25</v>
      </c>
      <c r="U25" s="23">
        <f t="shared" si="2"/>
        <v>3844.01</v>
      </c>
    </row>
    <row r="26" spans="1:21" x14ac:dyDescent="0.25">
      <c r="A26" s="5" t="s">
        <v>33</v>
      </c>
      <c r="B26" s="6" t="s">
        <v>58</v>
      </c>
      <c r="C26" s="6" t="s">
        <v>81</v>
      </c>
      <c r="D26" s="23">
        <v>3517.98</v>
      </c>
      <c r="E26" s="24"/>
      <c r="F26" s="24"/>
      <c r="G26" s="24">
        <f>22.43+15.39+6.3</f>
        <v>44.12</v>
      </c>
      <c r="H26" s="7">
        <v>600</v>
      </c>
      <c r="I26" s="7"/>
      <c r="J26" s="7"/>
      <c r="K26" s="23">
        <f t="shared" si="3"/>
        <v>600</v>
      </c>
      <c r="L26" s="24"/>
      <c r="M26" s="24"/>
      <c r="N26" s="24"/>
      <c r="O26" s="23">
        <f t="shared" si="0"/>
        <v>4162.1000000000004</v>
      </c>
      <c r="P26" s="24">
        <v>110.49</v>
      </c>
      <c r="Q26" s="24">
        <v>383.38</v>
      </c>
      <c r="R26" s="24">
        <f>54.82+21.99</f>
        <v>76.81</v>
      </c>
      <c r="S26" s="24"/>
      <c r="T26" s="23">
        <f t="shared" si="1"/>
        <v>570.68000000000006</v>
      </c>
      <c r="U26" s="23">
        <f t="shared" si="2"/>
        <v>3591.42</v>
      </c>
    </row>
    <row r="27" spans="1:21" x14ac:dyDescent="0.25">
      <c r="A27" s="5" t="s">
        <v>34</v>
      </c>
      <c r="B27" s="6" t="s">
        <v>67</v>
      </c>
      <c r="C27" s="6" t="s">
        <v>85</v>
      </c>
      <c r="D27" s="23">
        <v>8046.12</v>
      </c>
      <c r="E27" s="24"/>
      <c r="F27" s="24"/>
      <c r="G27" s="24"/>
      <c r="H27" s="7">
        <v>600</v>
      </c>
      <c r="I27" s="7"/>
      <c r="J27" s="7"/>
      <c r="K27" s="23">
        <f t="shared" si="3"/>
        <v>600</v>
      </c>
      <c r="L27" s="24"/>
      <c r="M27" s="24"/>
      <c r="N27" s="24"/>
      <c r="O27" s="23">
        <f t="shared" si="0"/>
        <v>8646.119999999999</v>
      </c>
      <c r="P27" s="24">
        <v>1176</v>
      </c>
      <c r="Q27" s="24">
        <v>608.44000000000005</v>
      </c>
      <c r="R27" s="24"/>
      <c r="S27" s="24"/>
      <c r="T27" s="23">
        <f t="shared" si="1"/>
        <v>1784.44</v>
      </c>
      <c r="U27" s="23">
        <f t="shared" si="2"/>
        <v>6861.6799999999985</v>
      </c>
    </row>
    <row r="28" spans="1:21" x14ac:dyDescent="0.25">
      <c r="A28" s="5" t="s">
        <v>110</v>
      </c>
      <c r="B28" s="6" t="s">
        <v>62</v>
      </c>
      <c r="C28" s="6" t="s">
        <v>93</v>
      </c>
      <c r="D28" s="16">
        <v>1308.92</v>
      </c>
      <c r="E28" s="7"/>
      <c r="F28" s="7"/>
      <c r="G28" s="7"/>
      <c r="H28" s="7">
        <v>600</v>
      </c>
      <c r="I28" s="7">
        <f>273+63</f>
        <v>336</v>
      </c>
      <c r="J28" s="7"/>
      <c r="K28" s="16">
        <f t="shared" si="3"/>
        <v>936</v>
      </c>
      <c r="L28" s="7"/>
      <c r="M28" s="7"/>
      <c r="N28" s="7"/>
      <c r="O28" s="16">
        <f t="shared" si="0"/>
        <v>2244.92</v>
      </c>
      <c r="P28" s="7"/>
      <c r="Q28" s="7"/>
      <c r="R28" s="7"/>
      <c r="S28" s="7"/>
      <c r="T28" s="16">
        <f t="shared" si="1"/>
        <v>0</v>
      </c>
      <c r="U28" s="16">
        <f t="shared" si="2"/>
        <v>2244.92</v>
      </c>
    </row>
    <row r="29" spans="1:21" x14ac:dyDescent="0.25">
      <c r="A29" s="5" t="s">
        <v>107</v>
      </c>
      <c r="B29" s="15" t="s">
        <v>71</v>
      </c>
      <c r="C29" s="6" t="s">
        <v>87</v>
      </c>
      <c r="D29" s="23">
        <v>6791.55</v>
      </c>
      <c r="E29" s="24"/>
      <c r="F29" s="24"/>
      <c r="G29" s="24"/>
      <c r="H29" s="7">
        <v>600</v>
      </c>
      <c r="I29" s="7">
        <v>172.2</v>
      </c>
      <c r="J29" s="7"/>
      <c r="K29" s="23">
        <f t="shared" si="3"/>
        <v>772.2</v>
      </c>
      <c r="L29" s="24"/>
      <c r="M29" s="24"/>
      <c r="N29" s="24"/>
      <c r="O29" s="23">
        <f t="shared" si="0"/>
        <v>7563.75</v>
      </c>
      <c r="P29" s="24">
        <v>812.16</v>
      </c>
      <c r="Q29" s="24">
        <v>608.44000000000005</v>
      </c>
      <c r="R29" s="24">
        <f>43.58+24.9</f>
        <v>68.47999999999999</v>
      </c>
      <c r="S29" s="24">
        <v>172.2</v>
      </c>
      <c r="T29" s="23">
        <f t="shared" si="1"/>
        <v>1661.28</v>
      </c>
      <c r="U29" s="23">
        <f t="shared" si="2"/>
        <v>5902.47</v>
      </c>
    </row>
    <row r="30" spans="1:21" x14ac:dyDescent="0.25">
      <c r="A30" s="11" t="s">
        <v>35</v>
      </c>
      <c r="B30" s="13" t="s">
        <v>59</v>
      </c>
      <c r="C30" s="6" t="s">
        <v>89</v>
      </c>
      <c r="D30" s="23">
        <v>3517.98</v>
      </c>
      <c r="E30" s="24"/>
      <c r="F30" s="24"/>
      <c r="G30" s="24">
        <f>32.54+5.42</f>
        <v>37.96</v>
      </c>
      <c r="H30" s="7">
        <v>600</v>
      </c>
      <c r="I30" s="7">
        <f>273+63</f>
        <v>336</v>
      </c>
      <c r="J30" s="7"/>
      <c r="K30" s="23">
        <f t="shared" si="3"/>
        <v>936</v>
      </c>
      <c r="L30" s="24"/>
      <c r="M30" s="24"/>
      <c r="N30" s="24">
        <v>815.88</v>
      </c>
      <c r="O30" s="23">
        <f t="shared" si="0"/>
        <v>5307.8200000000006</v>
      </c>
      <c r="P30" s="24">
        <v>237.8</v>
      </c>
      <c r="Q30" s="24">
        <v>480.06</v>
      </c>
      <c r="R30" s="24">
        <f>7.62</f>
        <v>7.62</v>
      </c>
      <c r="S30" s="24">
        <v>147.76</v>
      </c>
      <c r="T30" s="23">
        <f t="shared" si="1"/>
        <v>873.24</v>
      </c>
      <c r="U30" s="23">
        <f t="shared" si="2"/>
        <v>4434.5800000000008</v>
      </c>
    </row>
    <row r="31" spans="1:21" x14ac:dyDescent="0.25">
      <c r="A31" s="5" t="s">
        <v>36</v>
      </c>
      <c r="B31" s="6" t="s">
        <v>67</v>
      </c>
      <c r="C31" s="6" t="s">
        <v>85</v>
      </c>
      <c r="D31" s="23">
        <v>8046.12</v>
      </c>
      <c r="E31" s="24"/>
      <c r="F31" s="24"/>
      <c r="G31" s="24"/>
      <c r="H31" s="7">
        <v>600</v>
      </c>
      <c r="I31" s="7"/>
      <c r="J31" s="7"/>
      <c r="K31" s="23">
        <f t="shared" si="3"/>
        <v>600</v>
      </c>
      <c r="L31" s="24"/>
      <c r="M31" s="24"/>
      <c r="N31" s="24"/>
      <c r="O31" s="23">
        <f t="shared" si="0"/>
        <v>8646.119999999999</v>
      </c>
      <c r="P31" s="24">
        <v>1176</v>
      </c>
      <c r="Q31" s="24">
        <v>608.44000000000005</v>
      </c>
      <c r="R31" s="24">
        <v>11</v>
      </c>
      <c r="S31" s="24"/>
      <c r="T31" s="23">
        <f t="shared" si="1"/>
        <v>1795.44</v>
      </c>
      <c r="U31" s="23">
        <f t="shared" si="2"/>
        <v>6850.6799999999985</v>
      </c>
    </row>
    <row r="32" spans="1:21" x14ac:dyDescent="0.25">
      <c r="A32" s="5" t="s">
        <v>37</v>
      </c>
      <c r="B32" s="6" t="s">
        <v>66</v>
      </c>
      <c r="C32" s="6" t="s">
        <v>86</v>
      </c>
      <c r="D32" s="23">
        <v>8046.12</v>
      </c>
      <c r="E32" s="25"/>
      <c r="F32" s="24"/>
      <c r="G32" s="24"/>
      <c r="H32" s="7">
        <v>600</v>
      </c>
      <c r="I32" s="7">
        <v>172.2</v>
      </c>
      <c r="J32" s="7"/>
      <c r="K32" s="23">
        <f t="shared" si="3"/>
        <v>772.2</v>
      </c>
      <c r="L32" s="24"/>
      <c r="M32" s="24">
        <v>152.22</v>
      </c>
      <c r="N32" s="24"/>
      <c r="O32" s="23">
        <f t="shared" si="0"/>
        <v>8970.5399999999991</v>
      </c>
      <c r="P32" s="24">
        <v>1179.51</v>
      </c>
      <c r="Q32" s="24">
        <v>608.44000000000005</v>
      </c>
      <c r="R32" s="24">
        <f>66.38+73.09</f>
        <v>139.47</v>
      </c>
      <c r="S32" s="24">
        <v>172.2</v>
      </c>
      <c r="T32" s="23">
        <f t="shared" si="1"/>
        <v>2099.62</v>
      </c>
      <c r="U32" s="23">
        <f t="shared" si="2"/>
        <v>6870.9199999999992</v>
      </c>
    </row>
    <row r="33" spans="1:21" x14ac:dyDescent="0.25">
      <c r="A33" s="6" t="s">
        <v>38</v>
      </c>
      <c r="B33" s="6" t="s">
        <v>59</v>
      </c>
      <c r="C33" s="6" t="s">
        <v>89</v>
      </c>
      <c r="D33" s="23">
        <v>3517.98</v>
      </c>
      <c r="E33" s="24"/>
      <c r="F33" s="24"/>
      <c r="G33" s="24"/>
      <c r="H33" s="7">
        <v>600</v>
      </c>
      <c r="I33" s="7">
        <f>438.9+63</f>
        <v>501.9</v>
      </c>
      <c r="J33" s="7"/>
      <c r="K33" s="23">
        <f t="shared" si="3"/>
        <v>1101.9000000000001</v>
      </c>
      <c r="L33" s="24"/>
      <c r="M33" s="24"/>
      <c r="N33" s="24"/>
      <c r="O33" s="23">
        <f t="shared" si="0"/>
        <v>4619.88</v>
      </c>
      <c r="P33" s="24">
        <v>95.44</v>
      </c>
      <c r="Q33" s="24">
        <v>370.98</v>
      </c>
      <c r="R33" s="24">
        <f>28.14+117.27+11</f>
        <v>156.41</v>
      </c>
      <c r="S33" s="24">
        <v>147.76</v>
      </c>
      <c r="T33" s="23">
        <f t="shared" si="1"/>
        <v>770.59</v>
      </c>
      <c r="U33" s="23">
        <f t="shared" si="2"/>
        <v>3849.29</v>
      </c>
    </row>
    <row r="34" spans="1:21" x14ac:dyDescent="0.25">
      <c r="A34" s="6" t="s">
        <v>39</v>
      </c>
      <c r="B34" s="6" t="s">
        <v>72</v>
      </c>
      <c r="C34" s="6" t="s">
        <v>86</v>
      </c>
      <c r="D34" s="23">
        <v>12339.48</v>
      </c>
      <c r="E34" s="24"/>
      <c r="F34" s="24"/>
      <c r="G34" s="24"/>
      <c r="H34" s="7">
        <v>600</v>
      </c>
      <c r="I34" s="7">
        <f>1115.52+53.88</f>
        <v>1169.4000000000001</v>
      </c>
      <c r="J34" s="7"/>
      <c r="K34" s="23">
        <f t="shared" si="3"/>
        <v>1769.4</v>
      </c>
      <c r="L34" s="24"/>
      <c r="M34" s="24"/>
      <c r="N34" s="24"/>
      <c r="O34" s="23">
        <f t="shared" si="0"/>
        <v>14108.88</v>
      </c>
      <c r="P34" s="24">
        <v>2356.6799999999998</v>
      </c>
      <c r="Q34" s="23">
        <v>608.44000000000005</v>
      </c>
      <c r="R34" s="24"/>
      <c r="S34" s="24">
        <v>518.26</v>
      </c>
      <c r="T34" s="23">
        <f t="shared" si="1"/>
        <v>3483.38</v>
      </c>
      <c r="U34" s="23">
        <f t="shared" si="2"/>
        <v>10625.5</v>
      </c>
    </row>
    <row r="35" spans="1:21" x14ac:dyDescent="0.25">
      <c r="A35" s="6" t="s">
        <v>40</v>
      </c>
      <c r="B35" s="6" t="s">
        <v>73</v>
      </c>
      <c r="C35" s="6" t="s">
        <v>83</v>
      </c>
      <c r="D35" s="23">
        <v>3517.98</v>
      </c>
      <c r="E35" s="24"/>
      <c r="F35" s="24"/>
      <c r="G35" s="24">
        <f>69.48+11.58</f>
        <v>81.06</v>
      </c>
      <c r="H35" s="7">
        <v>600</v>
      </c>
      <c r="I35" s="7">
        <f>273+63</f>
        <v>336</v>
      </c>
      <c r="J35" s="7"/>
      <c r="K35" s="23">
        <f t="shared" si="3"/>
        <v>936</v>
      </c>
      <c r="L35" s="24"/>
      <c r="M35" s="24"/>
      <c r="N35" s="24"/>
      <c r="O35" s="23">
        <f t="shared" si="0"/>
        <v>4535.04</v>
      </c>
      <c r="P35" s="24">
        <v>117.73</v>
      </c>
      <c r="Q35" s="24">
        <v>389.35</v>
      </c>
      <c r="R35" s="24">
        <f>28.14+31.37+11</f>
        <v>70.510000000000005</v>
      </c>
      <c r="S35" s="24">
        <v>147.76</v>
      </c>
      <c r="T35" s="23">
        <f t="shared" si="1"/>
        <v>725.35</v>
      </c>
      <c r="U35" s="23">
        <f t="shared" si="2"/>
        <v>3809.69</v>
      </c>
    </row>
    <row r="36" spans="1:21" x14ac:dyDescent="0.25">
      <c r="A36" s="6" t="s">
        <v>41</v>
      </c>
      <c r="B36" s="6" t="s">
        <v>74</v>
      </c>
      <c r="C36" s="6" t="s">
        <v>84</v>
      </c>
      <c r="D36" s="23">
        <v>12339.48</v>
      </c>
      <c r="E36" s="24"/>
      <c r="F36" s="24"/>
      <c r="G36" s="24"/>
      <c r="H36" s="7">
        <v>600</v>
      </c>
      <c r="I36" s="7">
        <v>159.6</v>
      </c>
      <c r="J36" s="7"/>
      <c r="K36" s="23">
        <f t="shared" si="3"/>
        <v>759.6</v>
      </c>
      <c r="L36" s="24"/>
      <c r="M36" s="24"/>
      <c r="N36" s="24"/>
      <c r="O36" s="23">
        <f t="shared" si="0"/>
        <v>13099.08</v>
      </c>
      <c r="P36" s="24">
        <v>2356.6799999999998</v>
      </c>
      <c r="Q36" s="24">
        <v>608.44000000000005</v>
      </c>
      <c r="R36" s="24"/>
      <c r="S36" s="24">
        <v>142.80000000000001</v>
      </c>
      <c r="T36" s="23">
        <f t="shared" si="1"/>
        <v>3107.92</v>
      </c>
      <c r="U36" s="23">
        <f t="shared" si="2"/>
        <v>9991.16</v>
      </c>
    </row>
    <row r="37" spans="1:21" x14ac:dyDescent="0.25">
      <c r="A37" s="5" t="s">
        <v>106</v>
      </c>
      <c r="B37" s="6" t="s">
        <v>62</v>
      </c>
      <c r="C37" s="6" t="s">
        <v>91</v>
      </c>
      <c r="D37" s="16">
        <v>1308.92</v>
      </c>
      <c r="E37" s="7"/>
      <c r="F37" s="7"/>
      <c r="G37" s="7"/>
      <c r="H37" s="7">
        <v>600</v>
      </c>
      <c r="I37" s="7">
        <v>159.6</v>
      </c>
      <c r="J37" s="7"/>
      <c r="K37" s="16">
        <f t="shared" si="3"/>
        <v>759.6</v>
      </c>
      <c r="L37" s="7"/>
      <c r="M37" s="7"/>
      <c r="N37" s="7"/>
      <c r="O37" s="16">
        <f t="shared" ref="O37:O56" si="4">D37+E37+F37+G37+K37+L37+M37+N37</f>
        <v>2068.52</v>
      </c>
      <c r="P37" s="7"/>
      <c r="Q37" s="7"/>
      <c r="R37" s="7"/>
      <c r="S37" s="7"/>
      <c r="T37" s="16">
        <f t="shared" ref="T37:T56" si="5">P37+Q37+R37+S37</f>
        <v>0</v>
      </c>
      <c r="U37" s="16">
        <f t="shared" ref="U37:U56" si="6">O37-T37</f>
        <v>2068.52</v>
      </c>
    </row>
    <row r="38" spans="1:21" x14ac:dyDescent="0.25">
      <c r="A38" s="6" t="s">
        <v>42</v>
      </c>
      <c r="B38" s="6" t="s">
        <v>75</v>
      </c>
      <c r="C38" s="6" t="s">
        <v>91</v>
      </c>
      <c r="D38" s="23">
        <v>7829.74</v>
      </c>
      <c r="E38" s="24">
        <v>1565.95</v>
      </c>
      <c r="F38" s="24"/>
      <c r="G38" s="24"/>
      <c r="H38" s="7">
        <v>510</v>
      </c>
      <c r="I38" s="7"/>
      <c r="J38" s="7"/>
      <c r="K38" s="23">
        <f t="shared" si="3"/>
        <v>510</v>
      </c>
      <c r="L38" s="24">
        <v>521.98</v>
      </c>
      <c r="M38" s="24"/>
      <c r="N38" s="24"/>
      <c r="O38" s="23">
        <f t="shared" si="4"/>
        <v>10427.67</v>
      </c>
      <c r="P38" s="24">
        <v>1116.5</v>
      </c>
      <c r="Q38" s="24">
        <v>608.44000000000005</v>
      </c>
      <c r="R38" s="24"/>
      <c r="S38" s="24"/>
      <c r="T38" s="23">
        <f t="shared" si="5"/>
        <v>1724.94</v>
      </c>
      <c r="U38" s="23">
        <f t="shared" si="6"/>
        <v>8702.73</v>
      </c>
    </row>
    <row r="39" spans="1:21" x14ac:dyDescent="0.25">
      <c r="A39" s="6" t="s">
        <v>43</v>
      </c>
      <c r="B39" s="6" t="s">
        <v>76</v>
      </c>
      <c r="C39" s="6" t="s">
        <v>91</v>
      </c>
      <c r="D39" s="23">
        <v>6791.55</v>
      </c>
      <c r="E39" s="24"/>
      <c r="F39" s="24"/>
      <c r="G39" s="24">
        <f>439.75+161.3+100.18</f>
        <v>701.23</v>
      </c>
      <c r="H39" s="7">
        <v>600</v>
      </c>
      <c r="I39" s="7">
        <v>172.2</v>
      </c>
      <c r="J39" s="7"/>
      <c r="K39" s="23">
        <f t="shared" si="3"/>
        <v>772.2</v>
      </c>
      <c r="L39" s="24"/>
      <c r="M39" s="24"/>
      <c r="N39" s="24">
        <v>1562.49</v>
      </c>
      <c r="O39" s="23">
        <f t="shared" si="4"/>
        <v>9827.4700000000012</v>
      </c>
      <c r="P39" s="24">
        <v>1435.31</v>
      </c>
      <c r="Q39" s="24">
        <v>608.44000000000005</v>
      </c>
      <c r="R39" s="24">
        <f>66.22</f>
        <v>66.22</v>
      </c>
      <c r="S39" s="24">
        <v>172.2</v>
      </c>
      <c r="T39" s="23">
        <f t="shared" si="5"/>
        <v>2282.1699999999996</v>
      </c>
      <c r="U39" s="23">
        <f t="shared" si="6"/>
        <v>7545.3000000000011</v>
      </c>
    </row>
    <row r="40" spans="1:21" x14ac:dyDescent="0.25">
      <c r="A40" s="6" t="s">
        <v>44</v>
      </c>
      <c r="B40" s="6" t="s">
        <v>70</v>
      </c>
      <c r="C40" s="6" t="s">
        <v>90</v>
      </c>
      <c r="D40" s="23">
        <v>3517.98</v>
      </c>
      <c r="E40" s="24"/>
      <c r="F40" s="24"/>
      <c r="G40" s="24">
        <f>23.75+3.96</f>
        <v>27.71</v>
      </c>
      <c r="H40" s="7">
        <v>600</v>
      </c>
      <c r="I40" s="7">
        <f>233.1+39.9</f>
        <v>273</v>
      </c>
      <c r="J40" s="7"/>
      <c r="K40" s="23">
        <f t="shared" si="3"/>
        <v>873</v>
      </c>
      <c r="L40" s="24"/>
      <c r="M40" s="24"/>
      <c r="N40" s="24"/>
      <c r="O40" s="23">
        <f t="shared" si="4"/>
        <v>4418.6900000000005</v>
      </c>
      <c r="P40" s="24">
        <v>118.32</v>
      </c>
      <c r="Q40" s="24">
        <v>389.83</v>
      </c>
      <c r="R40" s="24">
        <f>1.76+11</f>
        <v>12.76</v>
      </c>
      <c r="S40" s="24">
        <v>147.76</v>
      </c>
      <c r="T40" s="23">
        <f t="shared" si="5"/>
        <v>668.67</v>
      </c>
      <c r="U40" s="23">
        <f t="shared" si="6"/>
        <v>3750.0200000000004</v>
      </c>
    </row>
    <row r="41" spans="1:21" x14ac:dyDescent="0.25">
      <c r="A41" s="5" t="s">
        <v>45</v>
      </c>
      <c r="B41" s="6" t="s">
        <v>58</v>
      </c>
      <c r="C41" s="6" t="s">
        <v>81</v>
      </c>
      <c r="D41" s="23">
        <v>3283.45</v>
      </c>
      <c r="E41" s="24">
        <v>234.53</v>
      </c>
      <c r="F41" s="24"/>
      <c r="G41" s="24">
        <f>32.54+5.42</f>
        <v>37.96</v>
      </c>
      <c r="H41" s="7">
        <v>540</v>
      </c>
      <c r="I41" s="7">
        <v>185.4</v>
      </c>
      <c r="J41" s="7"/>
      <c r="K41" s="23">
        <f t="shared" si="3"/>
        <v>725.4</v>
      </c>
      <c r="L41" s="25">
        <f>2.25+5.8+79.05</f>
        <v>87.1</v>
      </c>
      <c r="M41" s="24"/>
      <c r="N41" s="24"/>
      <c r="O41" s="23">
        <f t="shared" si="4"/>
        <v>4368.4400000000005</v>
      </c>
      <c r="P41" s="24">
        <v>83.98</v>
      </c>
      <c r="Q41" s="24">
        <f>372.19+25.3</f>
        <v>397.49</v>
      </c>
      <c r="R41" s="24">
        <f>24.04+32.83</f>
        <v>56.87</v>
      </c>
      <c r="S41" s="24">
        <v>133.69</v>
      </c>
      <c r="T41" s="23">
        <f t="shared" si="5"/>
        <v>672.03</v>
      </c>
      <c r="U41" s="23">
        <f t="shared" si="6"/>
        <v>3696.4100000000008</v>
      </c>
    </row>
    <row r="42" spans="1:21" x14ac:dyDescent="0.25">
      <c r="A42" s="6" t="s">
        <v>46</v>
      </c>
      <c r="B42" s="6" t="s">
        <v>58</v>
      </c>
      <c r="C42" s="6" t="s">
        <v>81</v>
      </c>
      <c r="D42" s="23">
        <v>3517.98</v>
      </c>
      <c r="E42" s="24"/>
      <c r="F42" s="24"/>
      <c r="G42" s="24">
        <f>252.12+111.26+60.56</f>
        <v>423.94</v>
      </c>
      <c r="H42" s="7">
        <v>600</v>
      </c>
      <c r="I42" s="7">
        <v>172.2</v>
      </c>
      <c r="J42" s="7"/>
      <c r="K42" s="23">
        <f t="shared" si="3"/>
        <v>772.2</v>
      </c>
      <c r="L42" s="24"/>
      <c r="M42" s="24"/>
      <c r="N42" s="24"/>
      <c r="O42" s="23">
        <f t="shared" si="4"/>
        <v>4714.12</v>
      </c>
      <c r="P42" s="24">
        <f>170.55+19.3</f>
        <v>189.85000000000002</v>
      </c>
      <c r="Q42" s="24">
        <f>432.87+25.3</f>
        <v>458.17</v>
      </c>
      <c r="R42" s="24">
        <f>6.74+11+35.18</f>
        <v>52.92</v>
      </c>
      <c r="S42" s="24">
        <v>147.76</v>
      </c>
      <c r="T42" s="23">
        <f t="shared" si="5"/>
        <v>848.69999999999993</v>
      </c>
      <c r="U42" s="23">
        <f t="shared" si="6"/>
        <v>3865.42</v>
      </c>
    </row>
    <row r="43" spans="1:21" x14ac:dyDescent="0.25">
      <c r="A43" s="5" t="s">
        <v>104</v>
      </c>
      <c r="B43" s="6" t="s">
        <v>59</v>
      </c>
      <c r="C43" s="6" t="s">
        <v>89</v>
      </c>
      <c r="D43" s="23">
        <v>3517.98</v>
      </c>
      <c r="E43" s="24"/>
      <c r="F43" s="24"/>
      <c r="G43" s="24">
        <f>7.04+1.17</f>
        <v>8.2100000000000009</v>
      </c>
      <c r="H43" s="7">
        <v>600</v>
      </c>
      <c r="I43" s="7">
        <f>273+63</f>
        <v>336</v>
      </c>
      <c r="J43" s="7"/>
      <c r="K43" s="23">
        <f t="shared" si="3"/>
        <v>936</v>
      </c>
      <c r="L43" s="24"/>
      <c r="M43" s="24"/>
      <c r="N43" s="24"/>
      <c r="O43" s="23">
        <f t="shared" si="4"/>
        <v>4462.1900000000005</v>
      </c>
      <c r="P43" s="24">
        <v>112.66</v>
      </c>
      <c r="Q43" s="24">
        <v>385.17</v>
      </c>
      <c r="R43" s="24">
        <f>22.57+2.05+11</f>
        <v>35.620000000000005</v>
      </c>
      <c r="S43" s="24">
        <v>147.76</v>
      </c>
      <c r="T43" s="23">
        <f t="shared" si="5"/>
        <v>681.21</v>
      </c>
      <c r="U43" s="23">
        <f t="shared" si="6"/>
        <v>3780.9800000000005</v>
      </c>
    </row>
    <row r="44" spans="1:21" x14ac:dyDescent="0.25">
      <c r="A44" s="6" t="s">
        <v>112</v>
      </c>
      <c r="B44" s="6" t="s">
        <v>66</v>
      </c>
      <c r="C44" s="6" t="s">
        <v>86</v>
      </c>
      <c r="D44" s="23">
        <v>8046.12</v>
      </c>
      <c r="E44" s="24"/>
      <c r="F44" s="24"/>
      <c r="G44" s="24">
        <f>35.2+5.87</f>
        <v>41.07</v>
      </c>
      <c r="H44" s="7">
        <v>600</v>
      </c>
      <c r="I44" s="7"/>
      <c r="J44" s="7">
        <v>250</v>
      </c>
      <c r="K44" s="23">
        <f t="shared" si="3"/>
        <v>850</v>
      </c>
      <c r="L44" s="24"/>
      <c r="M44" s="24"/>
      <c r="N44" s="24"/>
      <c r="O44" s="23">
        <f t="shared" si="4"/>
        <v>8937.1899999999987</v>
      </c>
      <c r="P44" s="24">
        <v>1133.69</v>
      </c>
      <c r="Q44" s="23">
        <v>608.44000000000005</v>
      </c>
      <c r="R44" s="24">
        <f>5.36</f>
        <v>5.36</v>
      </c>
      <c r="S44" s="24"/>
      <c r="T44" s="23">
        <f t="shared" si="5"/>
        <v>1747.49</v>
      </c>
      <c r="U44" s="23">
        <f t="shared" si="6"/>
        <v>7189.6999999999989</v>
      </c>
    </row>
    <row r="45" spans="1:21" x14ac:dyDescent="0.25">
      <c r="A45" s="5" t="s">
        <v>47</v>
      </c>
      <c r="B45" s="6" t="s">
        <v>66</v>
      </c>
      <c r="C45" s="6" t="s">
        <v>86</v>
      </c>
      <c r="D45" s="23">
        <v>8046.12</v>
      </c>
      <c r="E45" s="24"/>
      <c r="F45" s="24"/>
      <c r="G45" s="24">
        <f>20.12+3.35</f>
        <v>23.470000000000002</v>
      </c>
      <c r="H45" s="7">
        <v>600</v>
      </c>
      <c r="I45" s="7"/>
      <c r="J45" s="7"/>
      <c r="K45" s="23">
        <f t="shared" si="3"/>
        <v>600</v>
      </c>
      <c r="L45" s="24"/>
      <c r="M45" s="24"/>
      <c r="N45" s="24"/>
      <c r="O45" s="23">
        <f t="shared" si="4"/>
        <v>8669.59</v>
      </c>
      <c r="P45" s="24">
        <v>1182.46</v>
      </c>
      <c r="Q45" s="24">
        <v>608.44000000000005</v>
      </c>
      <c r="R45" s="24"/>
      <c r="S45" s="24"/>
      <c r="T45" s="23">
        <f t="shared" si="5"/>
        <v>1790.9</v>
      </c>
      <c r="U45" s="23">
        <f t="shared" si="6"/>
        <v>6878.6900000000005</v>
      </c>
    </row>
    <row r="46" spans="1:21" x14ac:dyDescent="0.25">
      <c r="A46" s="5" t="s">
        <v>48</v>
      </c>
      <c r="B46" s="6" t="s">
        <v>66</v>
      </c>
      <c r="C46" s="6" t="s">
        <v>85</v>
      </c>
      <c r="D46" s="23">
        <v>8046.12</v>
      </c>
      <c r="E46" s="24"/>
      <c r="F46" s="24"/>
      <c r="G46" s="24">
        <f>108.62+18.1+241.38+40.23</f>
        <v>408.33000000000004</v>
      </c>
      <c r="H46" s="7">
        <v>600</v>
      </c>
      <c r="I46" s="7"/>
      <c r="J46" s="7"/>
      <c r="K46" s="23">
        <f t="shared" si="3"/>
        <v>600</v>
      </c>
      <c r="L46" s="24"/>
      <c r="M46" s="24"/>
      <c r="N46" s="24"/>
      <c r="O46" s="23">
        <f t="shared" si="4"/>
        <v>9054.4500000000007</v>
      </c>
      <c r="P46" s="24">
        <v>1288.29</v>
      </c>
      <c r="Q46" s="24">
        <v>608.44000000000005</v>
      </c>
      <c r="R46" s="24">
        <f>11</f>
        <v>11</v>
      </c>
      <c r="S46" s="24"/>
      <c r="T46" s="23">
        <f t="shared" si="5"/>
        <v>1907.73</v>
      </c>
      <c r="U46" s="23">
        <f t="shared" si="6"/>
        <v>7146.7200000000012</v>
      </c>
    </row>
    <row r="47" spans="1:21" x14ac:dyDescent="0.25">
      <c r="A47" s="5" t="s">
        <v>49</v>
      </c>
      <c r="B47" s="6" t="s">
        <v>58</v>
      </c>
      <c r="C47" s="6" t="s">
        <v>81</v>
      </c>
      <c r="D47" s="23">
        <v>3517.98</v>
      </c>
      <c r="E47" s="24"/>
      <c r="F47" s="24"/>
      <c r="G47" s="24">
        <f>93.67+15.61</f>
        <v>109.28</v>
      </c>
      <c r="H47" s="7">
        <v>600</v>
      </c>
      <c r="I47" s="7">
        <f>273+63</f>
        <v>336</v>
      </c>
      <c r="J47" s="7"/>
      <c r="K47" s="23">
        <f t="shared" si="3"/>
        <v>936</v>
      </c>
      <c r="L47" s="24"/>
      <c r="M47" s="24"/>
      <c r="N47" s="24"/>
      <c r="O47" s="23">
        <f t="shared" si="4"/>
        <v>4563.26</v>
      </c>
      <c r="P47" s="24">
        <v>67.849999999999994</v>
      </c>
      <c r="Q47" s="24">
        <v>394</v>
      </c>
      <c r="R47" s="24">
        <f>30.78+14.66+33+35.18</f>
        <v>113.62</v>
      </c>
      <c r="S47" s="24">
        <v>147.76</v>
      </c>
      <c r="T47" s="23">
        <f t="shared" si="5"/>
        <v>723.23</v>
      </c>
      <c r="U47" s="23">
        <f t="shared" si="6"/>
        <v>3840.03</v>
      </c>
    </row>
    <row r="48" spans="1:21" x14ac:dyDescent="0.25">
      <c r="A48" s="5" t="s">
        <v>50</v>
      </c>
      <c r="B48" s="6" t="s">
        <v>66</v>
      </c>
      <c r="C48" s="6" t="s">
        <v>85</v>
      </c>
      <c r="D48" s="23">
        <v>8046.12</v>
      </c>
      <c r="E48" s="24"/>
      <c r="F48" s="24"/>
      <c r="G48" s="24">
        <f>72.42+12.07+268.54+44.76</f>
        <v>397.79</v>
      </c>
      <c r="H48" s="7">
        <v>600</v>
      </c>
      <c r="I48" s="7">
        <v>172.2</v>
      </c>
      <c r="J48" s="7"/>
      <c r="K48" s="23">
        <f t="shared" si="3"/>
        <v>772.2</v>
      </c>
      <c r="L48" s="24"/>
      <c r="M48" s="24"/>
      <c r="N48" s="24">
        <v>429.34</v>
      </c>
      <c r="O48" s="23">
        <f t="shared" si="4"/>
        <v>9645.4500000000007</v>
      </c>
      <c r="P48" s="24">
        <v>1403.46</v>
      </c>
      <c r="Q48" s="24">
        <v>608.44000000000005</v>
      </c>
      <c r="R48" s="24"/>
      <c r="S48" s="24">
        <v>172.2</v>
      </c>
      <c r="T48" s="23">
        <f t="shared" si="5"/>
        <v>2184.1</v>
      </c>
      <c r="U48" s="23">
        <f t="shared" si="6"/>
        <v>7461.35</v>
      </c>
    </row>
    <row r="49" spans="1:21" x14ac:dyDescent="0.25">
      <c r="A49" s="5" t="s">
        <v>51</v>
      </c>
      <c r="B49" s="6" t="s">
        <v>77</v>
      </c>
      <c r="C49" s="6" t="s">
        <v>83</v>
      </c>
      <c r="D49" s="23">
        <v>6338.78</v>
      </c>
      <c r="E49" s="24">
        <v>452.77</v>
      </c>
      <c r="F49" s="24"/>
      <c r="G49" s="24">
        <f>0.85+0.14</f>
        <v>0.99</v>
      </c>
      <c r="H49" s="7">
        <v>600</v>
      </c>
      <c r="I49" s="7">
        <v>152</v>
      </c>
      <c r="J49" s="7"/>
      <c r="K49" s="23">
        <f t="shared" si="3"/>
        <v>752</v>
      </c>
      <c r="L49" s="24">
        <f>1.81+0.44+151.63</f>
        <v>153.88</v>
      </c>
      <c r="M49" s="24"/>
      <c r="N49" s="24"/>
      <c r="O49" s="23">
        <f t="shared" si="4"/>
        <v>7698.4199999999992</v>
      </c>
      <c r="P49" s="24">
        <v>706.86</v>
      </c>
      <c r="Q49" s="24">
        <f>571.28+37.16</f>
        <v>608.43999999999994</v>
      </c>
      <c r="R49" s="24">
        <f>18.11+18.68</f>
        <v>36.79</v>
      </c>
      <c r="S49" s="24">
        <v>152</v>
      </c>
      <c r="T49" s="23">
        <f t="shared" si="5"/>
        <v>1504.09</v>
      </c>
      <c r="U49" s="23">
        <f t="shared" si="6"/>
        <v>6194.329999999999</v>
      </c>
    </row>
    <row r="50" spans="1:21" x14ac:dyDescent="0.25">
      <c r="A50" s="5" t="s">
        <v>52</v>
      </c>
      <c r="B50" s="6" t="s">
        <v>78</v>
      </c>
      <c r="C50" s="6" t="s">
        <v>82</v>
      </c>
      <c r="D50" s="23">
        <v>4384.66</v>
      </c>
      <c r="E50" s="24"/>
      <c r="F50" s="24"/>
      <c r="G50" s="24"/>
      <c r="H50" s="7">
        <v>270</v>
      </c>
      <c r="I50" s="7">
        <v>82</v>
      </c>
      <c r="J50" s="7"/>
      <c r="K50" s="23">
        <f t="shared" si="3"/>
        <v>352</v>
      </c>
      <c r="L50" s="24"/>
      <c r="M50" s="24"/>
      <c r="N50" s="24"/>
      <c r="O50" s="23">
        <f t="shared" si="4"/>
        <v>4736.66</v>
      </c>
      <c r="P50" s="24">
        <v>341.97</v>
      </c>
      <c r="Q50" s="24">
        <v>37.56</v>
      </c>
      <c r="R50" s="24"/>
      <c r="S50" s="24">
        <v>82</v>
      </c>
      <c r="T50" s="23">
        <f t="shared" si="5"/>
        <v>461.53000000000003</v>
      </c>
      <c r="U50" s="23">
        <f t="shared" si="6"/>
        <v>4275.13</v>
      </c>
    </row>
    <row r="51" spans="1:21" x14ac:dyDescent="0.25">
      <c r="A51" s="6" t="s">
        <v>53</v>
      </c>
      <c r="B51" s="6" t="s">
        <v>73</v>
      </c>
      <c r="C51" s="6" t="s">
        <v>83</v>
      </c>
      <c r="D51" s="23">
        <v>3517.98</v>
      </c>
      <c r="E51" s="24"/>
      <c r="F51" s="24"/>
      <c r="G51" s="24">
        <f>47.05+7.84</f>
        <v>54.89</v>
      </c>
      <c r="H51" s="7">
        <v>600</v>
      </c>
      <c r="I51" s="7">
        <f>420+84</f>
        <v>504</v>
      </c>
      <c r="J51" s="7"/>
      <c r="K51" s="23">
        <f t="shared" si="3"/>
        <v>1104</v>
      </c>
      <c r="L51" s="24"/>
      <c r="M51" s="24"/>
      <c r="N51" s="24"/>
      <c r="O51" s="23">
        <f t="shared" si="4"/>
        <v>4676.87</v>
      </c>
      <c r="P51" s="24">
        <v>111.3</v>
      </c>
      <c r="Q51" s="24">
        <v>384.05</v>
      </c>
      <c r="R51" s="24">
        <f>39.28+42.22+35.18</f>
        <v>116.68</v>
      </c>
      <c r="S51" s="24">
        <v>147.76</v>
      </c>
      <c r="T51" s="23">
        <f t="shared" si="5"/>
        <v>759.79</v>
      </c>
      <c r="U51" s="23">
        <f t="shared" si="6"/>
        <v>3917.08</v>
      </c>
    </row>
    <row r="52" spans="1:21" x14ac:dyDescent="0.25">
      <c r="A52" s="6" t="s">
        <v>54</v>
      </c>
      <c r="B52" s="6" t="s">
        <v>79</v>
      </c>
      <c r="C52" s="6" t="s">
        <v>87</v>
      </c>
      <c r="D52" s="23">
        <v>6791.55</v>
      </c>
      <c r="E52" s="24"/>
      <c r="F52" s="24"/>
      <c r="G52" s="24">
        <f>9.34+1.56</f>
        <v>10.9</v>
      </c>
      <c r="H52" s="7">
        <v>600</v>
      </c>
      <c r="I52" s="7">
        <v>172.2</v>
      </c>
      <c r="J52" s="7"/>
      <c r="K52" s="23">
        <f t="shared" si="3"/>
        <v>772.2</v>
      </c>
      <c r="L52" s="24"/>
      <c r="M52" s="24"/>
      <c r="N52" s="24"/>
      <c r="O52" s="23">
        <f t="shared" si="4"/>
        <v>7574.65</v>
      </c>
      <c r="P52" s="24">
        <v>829.94</v>
      </c>
      <c r="Q52" s="24">
        <v>608.44000000000005</v>
      </c>
      <c r="R52" s="24">
        <f>14.72</f>
        <v>14.72</v>
      </c>
      <c r="S52" s="24">
        <v>172.2</v>
      </c>
      <c r="T52" s="23">
        <f t="shared" si="5"/>
        <v>1625.3000000000002</v>
      </c>
      <c r="U52" s="23">
        <f t="shared" si="6"/>
        <v>5949.3499999999995</v>
      </c>
    </row>
    <row r="53" spans="1:21" x14ac:dyDescent="0.25">
      <c r="A53" s="5" t="s">
        <v>111</v>
      </c>
      <c r="B53" s="6" t="s">
        <v>62</v>
      </c>
      <c r="C53" s="6" t="s">
        <v>85</v>
      </c>
      <c r="D53" s="16">
        <v>1308.92</v>
      </c>
      <c r="E53" s="7"/>
      <c r="F53" s="7"/>
      <c r="G53" s="7"/>
      <c r="H53" s="7">
        <v>300</v>
      </c>
      <c r="I53" s="7">
        <f>143+33</f>
        <v>176</v>
      </c>
      <c r="J53" s="7"/>
      <c r="K53" s="16">
        <f t="shared" si="3"/>
        <v>476</v>
      </c>
      <c r="L53" s="7"/>
      <c r="M53" s="7"/>
      <c r="N53" s="7"/>
      <c r="O53" s="16">
        <f t="shared" si="4"/>
        <v>1784.92</v>
      </c>
      <c r="P53" s="7"/>
      <c r="Q53" s="7"/>
      <c r="R53" s="7"/>
      <c r="S53" s="7"/>
      <c r="T53" s="16">
        <f t="shared" si="5"/>
        <v>0</v>
      </c>
      <c r="U53" s="16">
        <f t="shared" si="6"/>
        <v>1784.92</v>
      </c>
    </row>
    <row r="54" spans="1:21" x14ac:dyDescent="0.25">
      <c r="A54" s="5" t="s">
        <v>55</v>
      </c>
      <c r="B54" s="6" t="s">
        <v>58</v>
      </c>
      <c r="C54" s="6" t="s">
        <v>85</v>
      </c>
      <c r="D54" s="23">
        <v>3517.98</v>
      </c>
      <c r="E54" s="24"/>
      <c r="F54" s="24"/>
      <c r="G54" s="24"/>
      <c r="H54" s="7">
        <v>600</v>
      </c>
      <c r="I54" s="7"/>
      <c r="J54" s="7"/>
      <c r="K54" s="23">
        <f t="shared" si="3"/>
        <v>600</v>
      </c>
      <c r="L54" s="24"/>
      <c r="M54" s="24"/>
      <c r="N54" s="24"/>
      <c r="O54" s="23">
        <f t="shared" si="4"/>
        <v>4117.9799999999996</v>
      </c>
      <c r="P54" s="24">
        <v>114.85</v>
      </c>
      <c r="Q54" s="24">
        <v>386.98</v>
      </c>
      <c r="R54" s="24">
        <f>11</f>
        <v>11</v>
      </c>
      <c r="S54" s="24"/>
      <c r="T54" s="23">
        <f t="shared" si="5"/>
        <v>512.83000000000004</v>
      </c>
      <c r="U54" s="23">
        <f t="shared" si="6"/>
        <v>3605.1499999999996</v>
      </c>
    </row>
    <row r="55" spans="1:21" x14ac:dyDescent="0.25">
      <c r="A55" s="6" t="s">
        <v>56</v>
      </c>
      <c r="B55" s="6" t="s">
        <v>80</v>
      </c>
      <c r="C55" s="6" t="s">
        <v>89</v>
      </c>
      <c r="D55" s="23">
        <v>6791.55</v>
      </c>
      <c r="E55" s="24"/>
      <c r="F55" s="24"/>
      <c r="G55" s="24">
        <f>21.22+3.54</f>
        <v>24.759999999999998</v>
      </c>
      <c r="H55" s="7">
        <v>600</v>
      </c>
      <c r="I55" s="7"/>
      <c r="J55" s="7"/>
      <c r="K55" s="23">
        <f t="shared" si="3"/>
        <v>600</v>
      </c>
      <c r="L55" s="24"/>
      <c r="M55" s="24"/>
      <c r="N55" s="24"/>
      <c r="O55" s="23">
        <f t="shared" si="4"/>
        <v>7416.31</v>
      </c>
      <c r="P55" s="24">
        <v>835.31</v>
      </c>
      <c r="Q55" s="24">
        <v>608.44000000000005</v>
      </c>
      <c r="R55" s="24">
        <v>9.06</v>
      </c>
      <c r="S55" s="24"/>
      <c r="T55" s="23">
        <f t="shared" si="5"/>
        <v>1452.81</v>
      </c>
      <c r="U55" s="23">
        <f t="shared" si="6"/>
        <v>5963.5</v>
      </c>
    </row>
    <row r="56" spans="1:21" x14ac:dyDescent="0.25">
      <c r="A56" s="16" t="s">
        <v>57</v>
      </c>
      <c r="B56" s="7" t="s">
        <v>62</v>
      </c>
      <c r="C56" s="7" t="s">
        <v>91</v>
      </c>
      <c r="D56" s="7">
        <v>1308.92</v>
      </c>
      <c r="E56" s="7"/>
      <c r="F56" s="7"/>
      <c r="G56" s="7"/>
      <c r="H56" s="7">
        <v>300</v>
      </c>
      <c r="I56" s="7">
        <f>130+30</f>
        <v>160</v>
      </c>
      <c r="J56" s="7"/>
      <c r="K56" s="16">
        <f t="shared" si="3"/>
        <v>460</v>
      </c>
      <c r="L56" s="16"/>
      <c r="M56" s="7"/>
      <c r="N56" s="7"/>
      <c r="O56" s="7">
        <f t="shared" si="4"/>
        <v>1768.92</v>
      </c>
      <c r="P56" s="7"/>
      <c r="Q56" s="16"/>
      <c r="R56" s="16"/>
      <c r="S56" s="16"/>
      <c r="T56" s="7">
        <f t="shared" si="5"/>
        <v>0</v>
      </c>
      <c r="U56" s="7">
        <f t="shared" si="6"/>
        <v>1768.92</v>
      </c>
    </row>
    <row r="57" spans="1:21" x14ac:dyDescent="0.25">
      <c r="H57" s="1">
        <f>SUM(H5:H56)</f>
        <v>26880</v>
      </c>
      <c r="I57" s="1">
        <f>SUM(I5:I56)</f>
        <v>9060.2999999999993</v>
      </c>
      <c r="J57" s="1"/>
      <c r="K57" s="1"/>
      <c r="O57" s="3"/>
      <c r="U57" s="1">
        <f>SUM(U5:U56)</f>
        <v>270386.54000000004</v>
      </c>
    </row>
    <row r="58" spans="1:21" x14ac:dyDescent="0.25">
      <c r="H58" s="1"/>
      <c r="I58" s="1"/>
      <c r="J58" s="1"/>
      <c r="K58" s="1"/>
      <c r="O58" s="3"/>
      <c r="U58" s="1"/>
    </row>
    <row r="59" spans="1:21" x14ac:dyDescent="0.25">
      <c r="O59" s="3"/>
    </row>
    <row r="60" spans="1:21" ht="19.5" x14ac:dyDescent="0.3">
      <c r="A60" s="17" t="s">
        <v>95</v>
      </c>
      <c r="O60" s="3"/>
    </row>
    <row r="61" spans="1:21" ht="19.5" x14ac:dyDescent="0.25">
      <c r="A61" s="20" t="s">
        <v>0</v>
      </c>
      <c r="B61" s="21" t="s">
        <v>1</v>
      </c>
      <c r="C61" s="21" t="s">
        <v>2</v>
      </c>
      <c r="D61" s="21" t="s">
        <v>98</v>
      </c>
      <c r="E61" s="21" t="s">
        <v>97</v>
      </c>
      <c r="F61" s="21" t="s">
        <v>10</v>
      </c>
      <c r="G61" s="20" t="s">
        <v>11</v>
      </c>
      <c r="H61" s="18"/>
      <c r="I61" s="18"/>
      <c r="J61" s="18"/>
      <c r="K61" s="21" t="s">
        <v>96</v>
      </c>
      <c r="L61" s="19"/>
      <c r="M61" s="19"/>
      <c r="N61" s="19"/>
      <c r="O61" s="19"/>
      <c r="P61" s="19"/>
      <c r="Q61" s="19"/>
      <c r="R61" s="19"/>
      <c r="S61" s="19"/>
    </row>
    <row r="62" spans="1:21" x14ac:dyDescent="0.25">
      <c r="A62" s="5" t="s">
        <v>45</v>
      </c>
      <c r="B62" s="6" t="s">
        <v>58</v>
      </c>
      <c r="C62" s="6" t="s">
        <v>81</v>
      </c>
      <c r="D62" s="16">
        <v>1758.99</v>
      </c>
      <c r="O62" s="3"/>
    </row>
    <row r="63" spans="1:21" x14ac:dyDescent="0.25">
      <c r="O63" s="3"/>
    </row>
    <row r="64" spans="1:21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</sheetData>
  <autoFilter ref="A4:U62"/>
  <sortState ref="A5:U56">
    <sortCondition ref="A5:A56"/>
  </sortState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showGridLines="0" zoomScaleNormal="100" workbookViewId="0">
      <pane xSplit="1" ySplit="4" topLeftCell="O47" activePane="bottomRight" state="frozen"/>
      <selection activeCell="V68" sqref="V68"/>
      <selection pane="topRight" activeCell="V68" sqref="V68"/>
      <selection pane="bottomLeft" activeCell="V68" sqref="V68"/>
      <selection pane="bottomRight" sqref="A1:W59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5" width="22.140625" style="2" customWidth="1"/>
    <col min="16" max="16" width="16.28515625" style="2" customWidth="1"/>
    <col min="17" max="17" width="20.28515625" style="2" customWidth="1"/>
    <col min="18" max="18" width="13" style="2" bestFit="1" customWidth="1"/>
    <col min="19" max="19" width="12.140625" style="2" bestFit="1" customWidth="1"/>
    <col min="20" max="20" width="18.85546875" style="2" bestFit="1" customWidth="1"/>
    <col min="21" max="21" width="11.42578125" style="2" bestFit="1" customWidth="1"/>
    <col min="22" max="22" width="17.5703125" style="2" bestFit="1" customWidth="1"/>
    <col min="23" max="23" width="14.85546875" style="2" bestFit="1" customWidth="1"/>
    <col min="24" max="16384" width="9.140625" style="2"/>
  </cols>
  <sheetData>
    <row r="1" spans="1:23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x14ac:dyDescent="0.3">
      <c r="A2" s="4" t="s">
        <v>137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135</v>
      </c>
      <c r="P4" s="20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92</v>
      </c>
      <c r="V4" s="20" t="s">
        <v>13</v>
      </c>
      <c r="W4" s="21" t="s">
        <v>14</v>
      </c>
    </row>
    <row r="5" spans="1:23" x14ac:dyDescent="0.25">
      <c r="A5" s="5" t="s">
        <v>16</v>
      </c>
      <c r="B5" s="6" t="s">
        <v>58</v>
      </c>
      <c r="C5" s="6" t="s">
        <v>81</v>
      </c>
      <c r="D5" s="16">
        <v>1932.54</v>
      </c>
      <c r="E5" s="7">
        <f>1690.98+6.42+1.07</f>
        <v>1698.47</v>
      </c>
      <c r="F5" s="7"/>
      <c r="G5" s="7"/>
      <c r="H5" s="7">
        <v>396</v>
      </c>
      <c r="I5" s="7">
        <v>312</v>
      </c>
      <c r="J5" s="22">
        <v>424.17</v>
      </c>
      <c r="K5" s="7"/>
      <c r="L5" s="16">
        <f t="shared" ref="L5:L36" si="0">H5+I5+K5+J5</f>
        <v>1132.17</v>
      </c>
      <c r="M5" s="7">
        <v>566.16</v>
      </c>
      <c r="N5" s="7"/>
      <c r="O5" s="7"/>
      <c r="P5" s="7"/>
      <c r="Q5" s="16">
        <f t="shared" ref="Q5:Q29" si="1">D5+E5+F5+G5+L5+M5+N5+P5</f>
        <v>5329.34</v>
      </c>
      <c r="R5" s="7">
        <v>11.76</v>
      </c>
      <c r="S5" s="7">
        <f>257.54+203.82</f>
        <v>461.36</v>
      </c>
      <c r="T5" s="7">
        <f>19.33+12.49+3.02</f>
        <v>34.840000000000003</v>
      </c>
      <c r="U5" s="7">
        <v>86.96</v>
      </c>
      <c r="V5" s="16">
        <f>R5+S5+T5+U5</f>
        <v>594.92000000000007</v>
      </c>
      <c r="W5" s="16">
        <f t="shared" ref="W5:W36" si="2">Q5-V5</f>
        <v>4734.42</v>
      </c>
    </row>
    <row r="6" spans="1:23" x14ac:dyDescent="0.25">
      <c r="A6" s="5" t="s">
        <v>17</v>
      </c>
      <c r="B6" s="6" t="s">
        <v>59</v>
      </c>
      <c r="C6" s="6" t="s">
        <v>89</v>
      </c>
      <c r="D6" s="16">
        <v>3623.52</v>
      </c>
      <c r="E6" s="7"/>
      <c r="F6" s="7"/>
      <c r="G6" s="7">
        <f>9.06+1.51</f>
        <v>10.57</v>
      </c>
      <c r="H6" s="7">
        <v>660</v>
      </c>
      <c r="I6" s="7"/>
      <c r="J6" s="16"/>
      <c r="K6" s="7">
        <f>260</f>
        <v>260</v>
      </c>
      <c r="L6" s="16">
        <f t="shared" si="0"/>
        <v>920</v>
      </c>
      <c r="M6" s="7"/>
      <c r="N6" s="7"/>
      <c r="O6" s="7"/>
      <c r="P6" s="7"/>
      <c r="Q6" s="16">
        <f t="shared" si="1"/>
        <v>4554.09</v>
      </c>
      <c r="R6" s="7">
        <v>73.47</v>
      </c>
      <c r="S6" s="7">
        <v>399.75</v>
      </c>
      <c r="T6" s="7"/>
      <c r="U6" s="7"/>
      <c r="V6" s="16">
        <f>R6+S6+T6+U6</f>
        <v>473.22</v>
      </c>
      <c r="W6" s="16">
        <f t="shared" si="2"/>
        <v>4080.87</v>
      </c>
    </row>
    <row r="7" spans="1:23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660</v>
      </c>
      <c r="I7" s="7">
        <v>144</v>
      </c>
      <c r="J7" s="22">
        <v>424.17</v>
      </c>
      <c r="K7" s="7"/>
      <c r="L7" s="16">
        <f t="shared" si="0"/>
        <v>1228.17</v>
      </c>
      <c r="M7" s="7"/>
      <c r="N7" s="7"/>
      <c r="O7" s="7"/>
      <c r="P7" s="7"/>
      <c r="Q7" s="16">
        <f t="shared" si="1"/>
        <v>6532.39</v>
      </c>
      <c r="R7" s="7">
        <v>340.73</v>
      </c>
      <c r="S7" s="7">
        <v>583.46</v>
      </c>
      <c r="T7" s="7"/>
      <c r="U7" s="7">
        <v>144</v>
      </c>
      <c r="V7" s="16">
        <f>R7+S7+T7+U7</f>
        <v>1068.19</v>
      </c>
      <c r="W7" s="16">
        <f t="shared" si="2"/>
        <v>5464.2000000000007</v>
      </c>
    </row>
    <row r="8" spans="1:23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660</v>
      </c>
      <c r="I8" s="7">
        <v>316</v>
      </c>
      <c r="J8" s="22">
        <v>450.64</v>
      </c>
      <c r="K8" s="7"/>
      <c r="L8" s="16">
        <f t="shared" si="0"/>
        <v>1426.6399999999999</v>
      </c>
      <c r="M8" s="7"/>
      <c r="N8" s="7"/>
      <c r="O8" s="7"/>
      <c r="P8" s="7"/>
      <c r="Q8" s="16">
        <f t="shared" si="1"/>
        <v>5050.16</v>
      </c>
      <c r="R8" s="2">
        <v>97.6</v>
      </c>
      <c r="S8" s="7">
        <v>396.2</v>
      </c>
      <c r="T8" s="7">
        <f>36.24+24.98+21.74</f>
        <v>82.96</v>
      </c>
      <c r="U8" s="7">
        <v>144.94</v>
      </c>
      <c r="V8" s="16">
        <f>R8+S8+T8+U8</f>
        <v>721.7</v>
      </c>
      <c r="W8" s="16">
        <f t="shared" si="2"/>
        <v>4328.46</v>
      </c>
    </row>
    <row r="9" spans="1:23" x14ac:dyDescent="0.25">
      <c r="A9" s="5" t="s">
        <v>105</v>
      </c>
      <c r="B9" s="6" t="s">
        <v>62</v>
      </c>
      <c r="C9" s="6" t="s">
        <v>83</v>
      </c>
      <c r="D9" s="16">
        <v>1348.19</v>
      </c>
      <c r="E9" s="7"/>
      <c r="F9" s="7"/>
      <c r="G9" s="7"/>
      <c r="H9" s="7">
        <v>660</v>
      </c>
      <c r="I9" s="7">
        <v>77.400000000000006</v>
      </c>
      <c r="J9" s="22"/>
      <c r="K9" s="7"/>
      <c r="L9" s="16">
        <f t="shared" si="0"/>
        <v>737.4</v>
      </c>
      <c r="M9" s="10"/>
      <c r="N9" s="7"/>
      <c r="O9" s="7"/>
      <c r="P9" s="7"/>
      <c r="Q9" s="16">
        <f t="shared" si="1"/>
        <v>2085.59</v>
      </c>
      <c r="R9" s="7"/>
      <c r="S9" s="7"/>
      <c r="T9" s="7"/>
      <c r="U9" s="7"/>
      <c r="V9" s="16"/>
      <c r="W9" s="16">
        <f t="shared" si="2"/>
        <v>2085.59</v>
      </c>
    </row>
    <row r="10" spans="1:23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660</v>
      </c>
      <c r="I10" s="7">
        <v>144</v>
      </c>
      <c r="J10" s="22"/>
      <c r="K10" s="7"/>
      <c r="L10" s="16">
        <f t="shared" si="0"/>
        <v>804</v>
      </c>
      <c r="M10" s="7"/>
      <c r="N10" s="7"/>
      <c r="O10" s="7"/>
      <c r="P10" s="7"/>
      <c r="Q10" s="16">
        <f t="shared" si="1"/>
        <v>4427.5200000000004</v>
      </c>
      <c r="R10" s="7">
        <v>127.81</v>
      </c>
      <c r="S10" s="7">
        <v>397.66</v>
      </c>
      <c r="T10" s="7">
        <f>36.24+8.45</f>
        <v>44.69</v>
      </c>
      <c r="U10" s="7">
        <v>144.94</v>
      </c>
      <c r="V10" s="16">
        <f t="shared" ref="V10:V53" si="3">R10+S10+T10+U10</f>
        <v>715.10000000000014</v>
      </c>
      <c r="W10" s="16">
        <f t="shared" si="2"/>
        <v>3712.42</v>
      </c>
    </row>
    <row r="11" spans="1:23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660</v>
      </c>
      <c r="I11" s="7"/>
      <c r="J11" s="22">
        <v>370.86</v>
      </c>
      <c r="K11" s="7"/>
      <c r="L11" s="16">
        <f t="shared" si="0"/>
        <v>1030.8600000000001</v>
      </c>
      <c r="M11" s="10"/>
      <c r="N11" s="7"/>
      <c r="O11" s="7"/>
      <c r="P11" s="7"/>
      <c r="Q11" s="16">
        <f t="shared" si="1"/>
        <v>10708.42</v>
      </c>
      <c r="R11" s="7">
        <v>1624.65</v>
      </c>
      <c r="S11" s="7">
        <v>608.44000000000005</v>
      </c>
      <c r="T11" s="7"/>
      <c r="U11" s="7"/>
      <c r="V11" s="16">
        <f t="shared" si="3"/>
        <v>2233.09</v>
      </c>
      <c r="W11" s="16">
        <f t="shared" si="2"/>
        <v>8475.33</v>
      </c>
    </row>
    <row r="12" spans="1:23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/>
      <c r="H12" s="7">
        <v>660</v>
      </c>
      <c r="I12" s="7">
        <v>316</v>
      </c>
      <c r="J12" s="22"/>
      <c r="K12" s="7"/>
      <c r="L12" s="16">
        <f t="shared" si="0"/>
        <v>976</v>
      </c>
      <c r="M12" s="7"/>
      <c r="N12" s="7"/>
      <c r="O12" s="7"/>
      <c r="P12" s="7"/>
      <c r="Q12" s="16">
        <f t="shared" si="1"/>
        <v>4599.5200000000004</v>
      </c>
      <c r="R12" s="7">
        <v>128.94</v>
      </c>
      <c r="S12" s="7">
        <v>398.59</v>
      </c>
      <c r="T12" s="7"/>
      <c r="U12" s="7">
        <v>144.94</v>
      </c>
      <c r="V12" s="16">
        <f t="shared" si="3"/>
        <v>672.47</v>
      </c>
      <c r="W12" s="16">
        <f t="shared" si="2"/>
        <v>3927.05</v>
      </c>
    </row>
    <row r="13" spans="1:23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561</v>
      </c>
      <c r="I13" s="7">
        <v>146.19999999999999</v>
      </c>
      <c r="J13" s="22">
        <v>692.25</v>
      </c>
      <c r="K13" s="7"/>
      <c r="L13" s="16">
        <f t="shared" si="0"/>
        <v>1399.45</v>
      </c>
      <c r="M13" s="7"/>
      <c r="N13" s="7"/>
      <c r="O13" s="7"/>
      <c r="P13" s="7"/>
      <c r="Q13" s="16">
        <f t="shared" si="1"/>
        <v>11077.01</v>
      </c>
      <c r="R13" s="7">
        <v>1624.65</v>
      </c>
      <c r="S13" s="7">
        <v>608.44000000000005</v>
      </c>
      <c r="T13" s="7"/>
      <c r="U13" s="7">
        <v>146.19999999999999</v>
      </c>
      <c r="V13" s="16">
        <f t="shared" si="3"/>
        <v>2379.29</v>
      </c>
      <c r="W13" s="16">
        <f t="shared" si="2"/>
        <v>8697.7200000000012</v>
      </c>
    </row>
    <row r="14" spans="1:23" x14ac:dyDescent="0.25">
      <c r="A14" s="5" t="s">
        <v>103</v>
      </c>
      <c r="B14" s="6" t="s">
        <v>62</v>
      </c>
      <c r="C14" s="6" t="s">
        <v>89</v>
      </c>
      <c r="D14" s="16">
        <v>1348.19</v>
      </c>
      <c r="E14" s="7"/>
      <c r="F14" s="7"/>
      <c r="G14" s="7"/>
      <c r="H14" s="7">
        <v>660</v>
      </c>
      <c r="I14" s="7">
        <v>320</v>
      </c>
      <c r="J14" s="22"/>
      <c r="K14" s="7"/>
      <c r="L14" s="16">
        <f t="shared" si="0"/>
        <v>980</v>
      </c>
      <c r="M14" s="7"/>
      <c r="N14" s="7"/>
      <c r="O14" s="7"/>
      <c r="P14" s="7"/>
      <c r="Q14" s="16">
        <f t="shared" si="1"/>
        <v>2328.19</v>
      </c>
      <c r="R14" s="7"/>
      <c r="S14" s="7"/>
      <c r="T14" s="7"/>
      <c r="U14" s="7"/>
      <c r="V14" s="16">
        <f t="shared" si="3"/>
        <v>0</v>
      </c>
      <c r="W14" s="16">
        <f t="shared" si="2"/>
        <v>2328.19</v>
      </c>
    </row>
    <row r="15" spans="1:23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>
        <v>660</v>
      </c>
      <c r="I15" s="7"/>
      <c r="J15" s="22">
        <v>840.79</v>
      </c>
      <c r="K15" s="7"/>
      <c r="L15" s="16">
        <f t="shared" si="0"/>
        <v>1500.79</v>
      </c>
      <c r="M15" s="7"/>
      <c r="N15" s="7"/>
      <c r="O15" s="7"/>
      <c r="P15" s="7">
        <f>1530.26+151.3</f>
        <v>1681.56</v>
      </c>
      <c r="Q15" s="16">
        <f t="shared" si="1"/>
        <v>3182.35</v>
      </c>
      <c r="R15" s="7"/>
      <c r="S15" s="7"/>
      <c r="T15" s="7"/>
      <c r="U15" s="7"/>
      <c r="V15" s="16">
        <f t="shared" si="3"/>
        <v>0</v>
      </c>
      <c r="W15" s="16">
        <f t="shared" si="2"/>
        <v>3182.35</v>
      </c>
    </row>
    <row r="16" spans="1:23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/>
      <c r="H16" s="7">
        <v>660</v>
      </c>
      <c r="I16" s="7">
        <v>316</v>
      </c>
      <c r="J16" s="22">
        <v>351.3</v>
      </c>
      <c r="K16" s="7"/>
      <c r="L16" s="16">
        <f t="shared" si="0"/>
        <v>1327.3</v>
      </c>
      <c r="M16" s="7"/>
      <c r="N16" s="7"/>
      <c r="O16" s="7"/>
      <c r="P16" s="7"/>
      <c r="Q16" s="16">
        <f t="shared" si="1"/>
        <v>4950.82</v>
      </c>
      <c r="R16" s="7">
        <v>128.94</v>
      </c>
      <c r="S16" s="7">
        <v>398.59</v>
      </c>
      <c r="T16" s="7">
        <f>36.24+12.49</f>
        <v>48.730000000000004</v>
      </c>
      <c r="U16" s="7">
        <v>144.94</v>
      </c>
      <c r="V16" s="16">
        <f t="shared" si="3"/>
        <v>721.2</v>
      </c>
      <c r="W16" s="16">
        <f t="shared" si="2"/>
        <v>4229.62</v>
      </c>
    </row>
    <row r="17" spans="1:23" x14ac:dyDescent="0.25">
      <c r="A17" s="5" t="s">
        <v>27</v>
      </c>
      <c r="B17" s="6" t="s">
        <v>66</v>
      </c>
      <c r="C17" s="6" t="s">
        <v>86</v>
      </c>
      <c r="D17" s="16">
        <v>8287.5</v>
      </c>
      <c r="E17" s="7"/>
      <c r="F17" s="7"/>
      <c r="G17" s="7"/>
      <c r="H17" s="7">
        <v>660</v>
      </c>
      <c r="I17" s="7">
        <v>172</v>
      </c>
      <c r="J17" s="22"/>
      <c r="K17" s="7"/>
      <c r="L17" s="16">
        <f t="shared" si="0"/>
        <v>832</v>
      </c>
      <c r="M17" s="7"/>
      <c r="N17" s="7"/>
      <c r="O17" s="7"/>
      <c r="P17" s="7"/>
      <c r="Q17" s="16">
        <f t="shared" si="1"/>
        <v>9119.5</v>
      </c>
      <c r="R17" s="7">
        <v>1237.06</v>
      </c>
      <c r="S17" s="7">
        <v>608.44000000000005</v>
      </c>
      <c r="T17" s="7">
        <v>19.34</v>
      </c>
      <c r="U17" s="7">
        <v>172</v>
      </c>
      <c r="V17" s="16">
        <f t="shared" si="3"/>
        <v>2036.84</v>
      </c>
      <c r="W17" s="16">
        <f t="shared" si="2"/>
        <v>7082.66</v>
      </c>
    </row>
    <row r="18" spans="1:23" x14ac:dyDescent="0.25">
      <c r="A18" s="5" t="s">
        <v>28</v>
      </c>
      <c r="B18" s="6" t="s">
        <v>67</v>
      </c>
      <c r="C18" s="6" t="s">
        <v>85</v>
      </c>
      <c r="D18" s="16">
        <v>4143.75</v>
      </c>
      <c r="E18" s="7">
        <f>4143.75</f>
        <v>4143.75</v>
      </c>
      <c r="F18" s="7"/>
      <c r="G18" s="7"/>
      <c r="H18" s="7">
        <v>264</v>
      </c>
      <c r="I18" s="7"/>
      <c r="J18" s="22"/>
      <c r="K18" s="7"/>
      <c r="L18" s="16">
        <f t="shared" si="0"/>
        <v>264</v>
      </c>
      <c r="M18" s="7">
        <v>1381.25</v>
      </c>
      <c r="N18" s="7"/>
      <c r="O18" s="7"/>
      <c r="P18" s="7"/>
      <c r="Q18" s="16">
        <f t="shared" si="1"/>
        <v>9932.75</v>
      </c>
      <c r="R18" s="7">
        <f>296.06+482.88</f>
        <v>778.94</v>
      </c>
      <c r="S18" s="7">
        <f>0.69+607.75</f>
        <v>608.44000000000005</v>
      </c>
      <c r="T18" s="7">
        <v>24.98</v>
      </c>
      <c r="U18" s="7"/>
      <c r="V18" s="16">
        <f t="shared" si="3"/>
        <v>1412.3600000000001</v>
      </c>
      <c r="W18" s="16">
        <f t="shared" si="2"/>
        <v>8520.39</v>
      </c>
    </row>
    <row r="19" spans="1:23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v>660</v>
      </c>
      <c r="I19" s="7"/>
      <c r="J19" s="22">
        <v>589.07000000000005</v>
      </c>
      <c r="K19" s="7"/>
      <c r="L19" s="16">
        <f t="shared" si="0"/>
        <v>1249.0700000000002</v>
      </c>
      <c r="M19" s="7"/>
      <c r="N19" s="7"/>
      <c r="O19" s="7"/>
      <c r="P19" s="7">
        <v>1549.37</v>
      </c>
      <c r="Q19" s="16">
        <f t="shared" si="1"/>
        <v>15508.099999999999</v>
      </c>
      <c r="R19" s="7">
        <v>2884.55</v>
      </c>
      <c r="S19" s="7">
        <v>608.44000000000005</v>
      </c>
      <c r="T19" s="7"/>
      <c r="U19" s="7"/>
      <c r="V19" s="16">
        <f t="shared" si="3"/>
        <v>3492.9900000000002</v>
      </c>
      <c r="W19" s="16">
        <f t="shared" si="2"/>
        <v>12015.109999999999</v>
      </c>
    </row>
    <row r="20" spans="1:23" x14ac:dyDescent="0.25">
      <c r="A20" s="5" t="s">
        <v>32</v>
      </c>
      <c r="B20" s="6" t="s">
        <v>70</v>
      </c>
      <c r="C20" s="6" t="s">
        <v>90</v>
      </c>
      <c r="D20" s="16">
        <v>3623.52</v>
      </c>
      <c r="E20" s="7"/>
      <c r="F20" s="7"/>
      <c r="G20" s="7">
        <f>73.38+12.23</f>
        <v>85.61</v>
      </c>
      <c r="H20" s="7">
        <v>660</v>
      </c>
      <c r="I20" s="7"/>
      <c r="J20" s="22"/>
      <c r="K20" s="7"/>
      <c r="L20" s="16">
        <f t="shared" si="0"/>
        <v>660</v>
      </c>
      <c r="M20" s="7"/>
      <c r="N20" s="7"/>
      <c r="O20" s="7"/>
      <c r="P20" s="7"/>
      <c r="Q20" s="16">
        <f t="shared" si="1"/>
        <v>4369.13</v>
      </c>
      <c r="R20" s="7">
        <v>138.51</v>
      </c>
      <c r="S20" s="7">
        <v>406.48</v>
      </c>
      <c r="T20" s="7">
        <f>36.24+13.89</f>
        <v>50.13</v>
      </c>
      <c r="U20" s="7"/>
      <c r="V20" s="16">
        <f t="shared" si="3"/>
        <v>595.12</v>
      </c>
      <c r="W20" s="16">
        <f t="shared" si="2"/>
        <v>3774.01</v>
      </c>
    </row>
    <row r="21" spans="1:23" x14ac:dyDescent="0.25">
      <c r="A21" s="5" t="s">
        <v>33</v>
      </c>
      <c r="B21" s="6" t="s">
        <v>58</v>
      </c>
      <c r="C21" s="6" t="s">
        <v>81</v>
      </c>
      <c r="D21" s="16">
        <v>3623.52</v>
      </c>
      <c r="E21" s="7"/>
      <c r="F21" s="7"/>
      <c r="G21" s="7"/>
      <c r="H21" s="7">
        <v>660</v>
      </c>
      <c r="I21" s="7"/>
      <c r="J21" s="22">
        <v>446.44</v>
      </c>
      <c r="K21" s="7"/>
      <c r="L21" s="16">
        <f t="shared" si="0"/>
        <v>1106.44</v>
      </c>
      <c r="M21" s="7"/>
      <c r="N21" s="7"/>
      <c r="O21" s="7"/>
      <c r="P21" s="7"/>
      <c r="Q21" s="16">
        <f t="shared" si="1"/>
        <v>4729.96</v>
      </c>
      <c r="R21" s="7">
        <v>128.54</v>
      </c>
      <c r="S21" s="7">
        <v>398.26</v>
      </c>
      <c r="T21" s="7">
        <v>3.02</v>
      </c>
      <c r="U21" s="7"/>
      <c r="V21" s="16">
        <f t="shared" si="3"/>
        <v>529.81999999999994</v>
      </c>
      <c r="W21" s="16">
        <f t="shared" si="2"/>
        <v>4200.1400000000003</v>
      </c>
    </row>
    <row r="22" spans="1:23" x14ac:dyDescent="0.25">
      <c r="A22" s="5" t="s">
        <v>34</v>
      </c>
      <c r="B22" s="6" t="s">
        <v>67</v>
      </c>
      <c r="C22" s="6" t="s">
        <v>85</v>
      </c>
      <c r="D22" s="16">
        <v>8287.5</v>
      </c>
      <c r="E22" s="7"/>
      <c r="F22" s="7"/>
      <c r="G22" s="7"/>
      <c r="H22" s="7">
        <v>660</v>
      </c>
      <c r="I22" s="7"/>
      <c r="J22" s="26">
        <v>424.17</v>
      </c>
      <c r="K22" s="7"/>
      <c r="L22" s="16">
        <f t="shared" si="0"/>
        <v>1084.17</v>
      </c>
      <c r="M22" s="7"/>
      <c r="N22" s="7"/>
      <c r="O22" s="7"/>
      <c r="P22" s="7"/>
      <c r="Q22" s="16">
        <f t="shared" si="1"/>
        <v>9371.67</v>
      </c>
      <c r="R22" s="7">
        <v>1242.3800000000001</v>
      </c>
      <c r="S22" s="7">
        <v>608.44000000000005</v>
      </c>
      <c r="T22" s="7"/>
      <c r="U22" s="7"/>
      <c r="V22" s="16">
        <f t="shared" si="3"/>
        <v>1850.8200000000002</v>
      </c>
      <c r="W22" s="16">
        <f t="shared" si="2"/>
        <v>7520.85</v>
      </c>
    </row>
    <row r="23" spans="1:23" x14ac:dyDescent="0.25">
      <c r="A23" s="5" t="s">
        <v>110</v>
      </c>
      <c r="B23" s="6" t="s">
        <v>62</v>
      </c>
      <c r="C23" s="6" t="s">
        <v>93</v>
      </c>
      <c r="D23" s="16">
        <v>1348.19</v>
      </c>
      <c r="E23" s="7"/>
      <c r="F23" s="7"/>
      <c r="G23" s="7"/>
      <c r="H23" s="7">
        <v>660</v>
      </c>
      <c r="I23" s="7">
        <v>320</v>
      </c>
      <c r="J23" s="22"/>
      <c r="K23" s="7"/>
      <c r="L23" s="16">
        <f t="shared" si="0"/>
        <v>980</v>
      </c>
      <c r="M23" s="7"/>
      <c r="N23" s="7"/>
      <c r="O23" s="7"/>
      <c r="P23" s="7"/>
      <c r="Q23" s="16">
        <f t="shared" si="1"/>
        <v>2328.19</v>
      </c>
      <c r="R23" s="7"/>
      <c r="S23" s="7"/>
      <c r="T23" s="7"/>
      <c r="U23" s="7"/>
      <c r="V23" s="16">
        <f t="shared" si="3"/>
        <v>0</v>
      </c>
      <c r="W23" s="16">
        <f t="shared" si="2"/>
        <v>2328.19</v>
      </c>
    </row>
    <row r="24" spans="1:23" x14ac:dyDescent="0.25">
      <c r="A24" s="6" t="s">
        <v>132</v>
      </c>
      <c r="B24" s="6" t="s">
        <v>62</v>
      </c>
      <c r="C24" s="6" t="s">
        <v>91</v>
      </c>
      <c r="D24" s="7">
        <v>898.79</v>
      </c>
      <c r="E24" s="7"/>
      <c r="F24" s="7"/>
      <c r="G24" s="7"/>
      <c r="H24" s="7">
        <v>660</v>
      </c>
      <c r="I24" s="7">
        <v>320</v>
      </c>
      <c r="J24" s="22"/>
      <c r="K24" s="7"/>
      <c r="L24" s="16">
        <f t="shared" si="0"/>
        <v>980</v>
      </c>
      <c r="M24" s="16"/>
      <c r="N24" s="7"/>
      <c r="O24" s="7"/>
      <c r="P24" s="7"/>
      <c r="Q24" s="16">
        <f t="shared" si="1"/>
        <v>1878.79</v>
      </c>
      <c r="R24" s="7"/>
      <c r="S24" s="16"/>
      <c r="T24" s="16"/>
      <c r="U24" s="16"/>
      <c r="V24" s="16">
        <f t="shared" si="3"/>
        <v>0</v>
      </c>
      <c r="W24" s="16">
        <f t="shared" si="2"/>
        <v>1878.79</v>
      </c>
    </row>
    <row r="25" spans="1:23" x14ac:dyDescent="0.25">
      <c r="A25" s="5" t="s">
        <v>107</v>
      </c>
      <c r="B25" s="15" t="s">
        <v>71</v>
      </c>
      <c r="C25" s="6" t="s">
        <v>87</v>
      </c>
      <c r="D25" s="16">
        <v>6995.3</v>
      </c>
      <c r="E25" s="7"/>
      <c r="F25" s="7"/>
      <c r="G25" s="7"/>
      <c r="H25" s="7">
        <v>660</v>
      </c>
      <c r="I25" s="7">
        <v>172</v>
      </c>
      <c r="J25" s="22">
        <v>421.59</v>
      </c>
      <c r="K25" s="7"/>
      <c r="L25" s="16">
        <f t="shared" si="0"/>
        <v>1253.5899999999999</v>
      </c>
      <c r="M25" s="7"/>
      <c r="N25" s="7"/>
      <c r="O25" s="7"/>
      <c r="P25" s="7"/>
      <c r="Q25" s="16">
        <f t="shared" si="1"/>
        <v>8248.89</v>
      </c>
      <c r="R25" s="7">
        <v>864.1</v>
      </c>
      <c r="S25" s="7">
        <v>608.44000000000005</v>
      </c>
      <c r="T25" s="7">
        <v>83.36</v>
      </c>
      <c r="U25" s="7">
        <v>172</v>
      </c>
      <c r="V25" s="16">
        <f t="shared" si="3"/>
        <v>1727.8999999999999</v>
      </c>
      <c r="W25" s="16">
        <f t="shared" si="2"/>
        <v>6520.99</v>
      </c>
    </row>
    <row r="26" spans="1:23" x14ac:dyDescent="0.25">
      <c r="A26" s="5" t="s">
        <v>133</v>
      </c>
      <c r="B26" s="6" t="s">
        <v>134</v>
      </c>
      <c r="C26" s="6" t="s">
        <v>91</v>
      </c>
      <c r="D26" s="16">
        <v>9677.56</v>
      </c>
      <c r="E26" s="7"/>
      <c r="F26" s="7"/>
      <c r="G26" s="7"/>
      <c r="H26" s="7">
        <v>660</v>
      </c>
      <c r="I26" s="7">
        <v>172</v>
      </c>
      <c r="J26" s="22">
        <f>640.64+640.64</f>
        <v>1281.28</v>
      </c>
      <c r="K26" s="7"/>
      <c r="L26" s="16">
        <f t="shared" si="0"/>
        <v>2113.2799999999997</v>
      </c>
      <c r="M26" s="7"/>
      <c r="N26" s="7"/>
      <c r="O26" s="7"/>
      <c r="P26" s="7"/>
      <c r="Q26" s="16">
        <f t="shared" si="1"/>
        <v>11790.84</v>
      </c>
      <c r="R26" s="7">
        <v>1624.65</v>
      </c>
      <c r="S26" s="7">
        <v>608.44000000000005</v>
      </c>
      <c r="T26" s="7"/>
      <c r="U26" s="7">
        <v>172</v>
      </c>
      <c r="V26" s="16">
        <f t="shared" si="3"/>
        <v>2405.09</v>
      </c>
      <c r="W26" s="16">
        <f t="shared" si="2"/>
        <v>9385.75</v>
      </c>
    </row>
    <row r="27" spans="1:23" x14ac:dyDescent="0.25">
      <c r="A27" s="5" t="s">
        <v>126</v>
      </c>
      <c r="B27" s="6" t="s">
        <v>62</v>
      </c>
      <c r="C27" s="6" t="s">
        <v>89</v>
      </c>
      <c r="D27" s="16">
        <v>1348.19</v>
      </c>
      <c r="E27" s="7"/>
      <c r="F27" s="7"/>
      <c r="G27" s="7"/>
      <c r="H27" s="7">
        <v>660</v>
      </c>
      <c r="I27" s="7">
        <v>172</v>
      </c>
      <c r="J27" s="22"/>
      <c r="K27" s="7"/>
      <c r="L27" s="16">
        <f t="shared" si="0"/>
        <v>832</v>
      </c>
      <c r="M27" s="7"/>
      <c r="N27" s="7"/>
      <c r="O27" s="7"/>
      <c r="P27" s="7"/>
      <c r="Q27" s="16">
        <f t="shared" si="1"/>
        <v>2180.19</v>
      </c>
      <c r="R27" s="7"/>
      <c r="S27" s="7"/>
      <c r="T27" s="7"/>
      <c r="U27" s="7"/>
      <c r="V27" s="16">
        <f t="shared" si="3"/>
        <v>0</v>
      </c>
      <c r="W27" s="16">
        <f t="shared" si="2"/>
        <v>2180.19</v>
      </c>
    </row>
    <row r="28" spans="1:23" x14ac:dyDescent="0.25">
      <c r="A28" s="11" t="s">
        <v>35</v>
      </c>
      <c r="B28" s="13" t="s">
        <v>59</v>
      </c>
      <c r="C28" s="6" t="s">
        <v>89</v>
      </c>
      <c r="D28" s="16">
        <v>3623.52</v>
      </c>
      <c r="E28" s="7"/>
      <c r="F28" s="7"/>
      <c r="G28" s="7">
        <f>18.57+3.1</f>
        <v>21.67</v>
      </c>
      <c r="H28" s="7">
        <v>660</v>
      </c>
      <c r="I28" s="7">
        <v>484</v>
      </c>
      <c r="J28" s="22"/>
      <c r="K28" s="7"/>
      <c r="L28" s="16">
        <f t="shared" si="0"/>
        <v>1144</v>
      </c>
      <c r="M28" s="7"/>
      <c r="N28" s="7"/>
      <c r="O28" s="7"/>
      <c r="P28" s="7"/>
      <c r="Q28" s="16">
        <f t="shared" si="1"/>
        <v>4789.1900000000005</v>
      </c>
      <c r="R28" s="7">
        <v>112.97</v>
      </c>
      <c r="S28" s="7">
        <v>385.43</v>
      </c>
      <c r="T28" s="7">
        <f>20.53+120.78</f>
        <v>141.31</v>
      </c>
      <c r="U28" s="7">
        <v>144.94</v>
      </c>
      <c r="V28" s="16">
        <f t="shared" si="3"/>
        <v>784.65000000000009</v>
      </c>
      <c r="W28" s="16">
        <f t="shared" si="2"/>
        <v>4004.5400000000004</v>
      </c>
    </row>
    <row r="29" spans="1:23" x14ac:dyDescent="0.25">
      <c r="A29" s="5" t="s">
        <v>36</v>
      </c>
      <c r="B29" s="6" t="s">
        <v>67</v>
      </c>
      <c r="C29" s="6" t="s">
        <v>85</v>
      </c>
      <c r="D29" s="16">
        <v>8287.5</v>
      </c>
      <c r="E29" s="7"/>
      <c r="F29" s="7"/>
      <c r="G29" s="7"/>
      <c r="H29" s="7">
        <v>660</v>
      </c>
      <c r="I29" s="7"/>
      <c r="J29" s="22">
        <v>318.41000000000003</v>
      </c>
      <c r="K29" s="7"/>
      <c r="L29" s="16">
        <f t="shared" si="0"/>
        <v>978.41000000000008</v>
      </c>
      <c r="M29" s="7"/>
      <c r="N29" s="7"/>
      <c r="O29" s="7"/>
      <c r="P29" s="7"/>
      <c r="Q29" s="16">
        <f t="shared" si="1"/>
        <v>9265.91</v>
      </c>
      <c r="R29" s="7">
        <v>1242.3800000000001</v>
      </c>
      <c r="S29" s="7">
        <v>608.44000000000005</v>
      </c>
      <c r="T29" s="7">
        <v>12.49</v>
      </c>
      <c r="U29" s="7"/>
      <c r="V29" s="16">
        <f t="shared" si="3"/>
        <v>1863.3100000000002</v>
      </c>
      <c r="W29" s="16">
        <f t="shared" si="2"/>
        <v>7402.5999999999995</v>
      </c>
    </row>
    <row r="30" spans="1:23" x14ac:dyDescent="0.25">
      <c r="A30" s="11" t="s">
        <v>119</v>
      </c>
      <c r="B30" s="13" t="s">
        <v>62</v>
      </c>
      <c r="C30" s="6" t="s">
        <v>86</v>
      </c>
      <c r="D30" s="16">
        <v>898.79</v>
      </c>
      <c r="E30" s="7"/>
      <c r="F30" s="7"/>
      <c r="G30" s="7"/>
      <c r="H30" s="7">
        <v>660</v>
      </c>
      <c r="I30" s="7">
        <v>144</v>
      </c>
      <c r="J30" s="22"/>
      <c r="K30" s="7"/>
      <c r="L30" s="16">
        <f t="shared" si="0"/>
        <v>804</v>
      </c>
      <c r="M30" s="7"/>
      <c r="N30" s="7"/>
      <c r="O30" s="7"/>
      <c r="P30" s="7"/>
      <c r="Q30" s="16">
        <f>D30</f>
        <v>898.79</v>
      </c>
      <c r="R30" s="7"/>
      <c r="S30" s="7"/>
      <c r="T30" s="7"/>
      <c r="U30" s="7"/>
      <c r="V30" s="16">
        <f t="shared" si="3"/>
        <v>0</v>
      </c>
      <c r="W30" s="16">
        <f t="shared" si="2"/>
        <v>898.79</v>
      </c>
    </row>
    <row r="31" spans="1:23" x14ac:dyDescent="0.25">
      <c r="A31" s="11" t="s">
        <v>120</v>
      </c>
      <c r="B31" s="13" t="s">
        <v>74</v>
      </c>
      <c r="C31" s="6" t="s">
        <v>84</v>
      </c>
      <c r="D31" s="16">
        <v>12709.66</v>
      </c>
      <c r="E31" s="7"/>
      <c r="F31" s="7"/>
      <c r="G31" s="7"/>
      <c r="H31" s="7">
        <v>660</v>
      </c>
      <c r="I31" s="7">
        <v>172</v>
      </c>
      <c r="J31" s="22"/>
      <c r="K31" s="7"/>
      <c r="L31" s="16">
        <f t="shared" si="0"/>
        <v>832</v>
      </c>
      <c r="M31" s="7"/>
      <c r="N31" s="7"/>
      <c r="O31" s="7"/>
      <c r="P31" s="7"/>
      <c r="Q31" s="16">
        <f>D31+E31+F31+G31+J31+K31+L31+M31+N31+P31</f>
        <v>13541.66</v>
      </c>
      <c r="R31" s="7">
        <v>2458.48</v>
      </c>
      <c r="S31" s="7">
        <v>608.44000000000005</v>
      </c>
      <c r="T31" s="7"/>
      <c r="U31" s="7">
        <f>172+172</f>
        <v>344</v>
      </c>
      <c r="V31" s="16">
        <f t="shared" si="3"/>
        <v>3410.92</v>
      </c>
      <c r="W31" s="16">
        <f t="shared" si="2"/>
        <v>10130.74</v>
      </c>
    </row>
    <row r="32" spans="1:23" x14ac:dyDescent="0.25">
      <c r="A32" s="6" t="s">
        <v>38</v>
      </c>
      <c r="B32" s="6" t="s">
        <v>59</v>
      </c>
      <c r="C32" s="6" t="s">
        <v>89</v>
      </c>
      <c r="D32" s="16">
        <v>3623.52</v>
      </c>
      <c r="E32" s="7"/>
      <c r="F32" s="7"/>
      <c r="G32" s="7">
        <f>52.09+8.68</f>
        <v>60.77</v>
      </c>
      <c r="H32" s="7">
        <v>660</v>
      </c>
      <c r="I32" s="7">
        <v>484</v>
      </c>
      <c r="J32" s="22"/>
      <c r="K32" s="7"/>
      <c r="L32" s="16">
        <f t="shared" si="0"/>
        <v>1144</v>
      </c>
      <c r="M32" s="7"/>
      <c r="N32" s="7"/>
      <c r="O32" s="7"/>
      <c r="P32" s="7"/>
      <c r="Q32" s="16">
        <f t="shared" ref="Q32:Q50" si="4">D32+E32+F32+G32+L32+M32+N32+P32</f>
        <v>4828.29</v>
      </c>
      <c r="R32" s="7">
        <v>135.6</v>
      </c>
      <c r="S32" s="7">
        <v>404.08</v>
      </c>
      <c r="T32" s="7">
        <f>10.87+12.49</f>
        <v>23.36</v>
      </c>
      <c r="U32" s="7">
        <v>144.94</v>
      </c>
      <c r="V32" s="16">
        <f t="shared" si="3"/>
        <v>707.98</v>
      </c>
      <c r="W32" s="16">
        <f t="shared" si="2"/>
        <v>4120.3099999999995</v>
      </c>
    </row>
    <row r="33" spans="1:23" x14ac:dyDescent="0.25">
      <c r="A33" s="6" t="s">
        <v>39</v>
      </c>
      <c r="B33" s="6" t="s">
        <v>72</v>
      </c>
      <c r="C33" s="6" t="s">
        <v>86</v>
      </c>
      <c r="D33" s="16">
        <v>12709.66</v>
      </c>
      <c r="E33" s="7"/>
      <c r="F33" s="7"/>
      <c r="G33" s="7"/>
      <c r="H33" s="7">
        <v>660</v>
      </c>
      <c r="I33" s="7">
        <v>1152.2</v>
      </c>
      <c r="J33" s="22"/>
      <c r="K33" s="7"/>
      <c r="L33" s="16">
        <f t="shared" si="0"/>
        <v>1812.2</v>
      </c>
      <c r="M33" s="7"/>
      <c r="N33" s="7"/>
      <c r="O33" s="7"/>
      <c r="P33" s="7"/>
      <c r="Q33" s="16">
        <f t="shared" si="4"/>
        <v>14521.86</v>
      </c>
      <c r="R33" s="7">
        <v>2458.48</v>
      </c>
      <c r="S33" s="7">
        <v>608.44000000000005</v>
      </c>
      <c r="T33" s="7"/>
      <c r="U33" s="7">
        <v>508.39</v>
      </c>
      <c r="V33" s="16">
        <f t="shared" si="3"/>
        <v>3575.31</v>
      </c>
      <c r="W33" s="16">
        <f t="shared" si="2"/>
        <v>10946.550000000001</v>
      </c>
    </row>
    <row r="34" spans="1:23" x14ac:dyDescent="0.25">
      <c r="A34" s="6" t="s">
        <v>40</v>
      </c>
      <c r="B34" s="6" t="s">
        <v>73</v>
      </c>
      <c r="C34" s="6" t="s">
        <v>83</v>
      </c>
      <c r="D34" s="16">
        <v>3623.52</v>
      </c>
      <c r="E34" s="7"/>
      <c r="F34" s="7"/>
      <c r="G34" s="7"/>
      <c r="H34" s="7">
        <v>660</v>
      </c>
      <c r="I34" s="7">
        <v>340</v>
      </c>
      <c r="J34" s="22">
        <v>351.3</v>
      </c>
      <c r="K34" s="7"/>
      <c r="L34" s="16">
        <f t="shared" si="0"/>
        <v>1351.3</v>
      </c>
      <c r="M34" s="7"/>
      <c r="N34" s="7"/>
      <c r="O34" s="7"/>
      <c r="P34" s="7"/>
      <c r="Q34" s="16">
        <f t="shared" si="4"/>
        <v>4974.82</v>
      </c>
      <c r="R34" s="7">
        <v>119.35</v>
      </c>
      <c r="S34" s="7">
        <v>390.68</v>
      </c>
      <c r="T34" s="7">
        <v>71.87</v>
      </c>
      <c r="U34" s="7">
        <v>144.94</v>
      </c>
      <c r="V34" s="16">
        <f t="shared" si="3"/>
        <v>726.83999999999992</v>
      </c>
      <c r="W34" s="16">
        <f t="shared" si="2"/>
        <v>4247.9799999999996</v>
      </c>
    </row>
    <row r="35" spans="1:23" x14ac:dyDescent="0.25">
      <c r="A35" s="6" t="s">
        <v>41</v>
      </c>
      <c r="B35" s="6" t="s">
        <v>82</v>
      </c>
      <c r="C35" s="6" t="s">
        <v>82</v>
      </c>
      <c r="D35" s="16">
        <v>9677.56</v>
      </c>
      <c r="E35" s="7"/>
      <c r="F35" s="7"/>
      <c r="G35" s="7"/>
      <c r="H35" s="7">
        <v>660</v>
      </c>
      <c r="I35" s="7">
        <v>172</v>
      </c>
      <c r="J35" s="16">
        <v>1236.0899999999999</v>
      </c>
      <c r="K35" s="7"/>
      <c r="L35" s="16">
        <f t="shared" si="0"/>
        <v>2068.09</v>
      </c>
      <c r="M35" s="7"/>
      <c r="N35" s="7"/>
      <c r="O35" s="7"/>
      <c r="P35" s="7"/>
      <c r="Q35" s="16">
        <f t="shared" si="4"/>
        <v>11745.65</v>
      </c>
      <c r="R35" s="7">
        <v>1624.65</v>
      </c>
      <c r="S35" s="7">
        <v>608.44000000000005</v>
      </c>
      <c r="T35" s="7"/>
      <c r="U35" s="7">
        <v>172</v>
      </c>
      <c r="V35" s="16">
        <f t="shared" si="3"/>
        <v>2405.09</v>
      </c>
      <c r="W35" s="16">
        <f t="shared" si="2"/>
        <v>9340.56</v>
      </c>
    </row>
    <row r="36" spans="1:23" x14ac:dyDescent="0.25">
      <c r="A36" s="5" t="s">
        <v>106</v>
      </c>
      <c r="B36" s="6" t="s">
        <v>62</v>
      </c>
      <c r="C36" s="6" t="s">
        <v>91</v>
      </c>
      <c r="D36" s="16">
        <v>1348.19</v>
      </c>
      <c r="E36" s="7"/>
      <c r="F36" s="7"/>
      <c r="G36" s="7"/>
      <c r="H36" s="7">
        <v>660</v>
      </c>
      <c r="I36" s="7">
        <v>144</v>
      </c>
      <c r="J36" s="22"/>
      <c r="K36" s="7"/>
      <c r="L36" s="16">
        <f t="shared" si="0"/>
        <v>804</v>
      </c>
      <c r="M36" s="7"/>
      <c r="N36" s="7"/>
      <c r="O36" s="7"/>
      <c r="P36" s="7"/>
      <c r="Q36" s="16">
        <f t="shared" si="4"/>
        <v>2152.19</v>
      </c>
      <c r="R36" s="7"/>
      <c r="S36" s="7"/>
      <c r="T36" s="7"/>
      <c r="U36" s="7"/>
      <c r="V36" s="16">
        <f t="shared" si="3"/>
        <v>0</v>
      </c>
      <c r="W36" s="16">
        <f t="shared" si="2"/>
        <v>2152.19</v>
      </c>
    </row>
    <row r="37" spans="1:23" x14ac:dyDescent="0.25">
      <c r="A37" s="6" t="s">
        <v>43</v>
      </c>
      <c r="B37" s="6" t="s">
        <v>76</v>
      </c>
      <c r="C37" s="6" t="s">
        <v>91</v>
      </c>
      <c r="D37" s="16">
        <v>6995.3</v>
      </c>
      <c r="E37" s="7"/>
      <c r="F37" s="7"/>
      <c r="G37" s="7">
        <f>95.31+15.89</f>
        <v>111.2</v>
      </c>
      <c r="H37" s="7">
        <v>660</v>
      </c>
      <c r="I37" s="7">
        <v>172</v>
      </c>
      <c r="J37" s="22"/>
      <c r="K37" s="7"/>
      <c r="L37" s="16">
        <f t="shared" ref="L37:L53" si="5">H37+I37+K37+J37</f>
        <v>832</v>
      </c>
      <c r="M37" s="7"/>
      <c r="N37" s="7"/>
      <c r="O37" s="7"/>
      <c r="P37" s="7"/>
      <c r="Q37" s="16">
        <f t="shared" si="4"/>
        <v>7938.5</v>
      </c>
      <c r="R37" s="7">
        <v>912.16</v>
      </c>
      <c r="S37" s="7">
        <v>608.44000000000005</v>
      </c>
      <c r="T37" s="7">
        <v>19.82</v>
      </c>
      <c r="U37" s="7">
        <v>172</v>
      </c>
      <c r="V37" s="16">
        <f t="shared" si="3"/>
        <v>1712.4199999999998</v>
      </c>
      <c r="W37" s="16">
        <f t="shared" ref="W37:W53" si="6">Q37-V37</f>
        <v>6226.08</v>
      </c>
    </row>
    <row r="38" spans="1:23" x14ac:dyDescent="0.25">
      <c r="A38" s="6" t="s">
        <v>44</v>
      </c>
      <c r="B38" s="6" t="s">
        <v>70</v>
      </c>
      <c r="C38" s="6" t="s">
        <v>90</v>
      </c>
      <c r="D38" s="16">
        <v>2415.6799999999998</v>
      </c>
      <c r="E38" s="7">
        <f>5.39+58.5+1207.84+58.89+0.9+19.57</f>
        <v>1351.0900000000001</v>
      </c>
      <c r="F38" s="7"/>
      <c r="G38" s="7">
        <f>53.45+8.91</f>
        <v>62.36</v>
      </c>
      <c r="H38" s="7">
        <v>396</v>
      </c>
      <c r="I38" s="7">
        <v>189.6</v>
      </c>
      <c r="J38" s="22">
        <v>424.17</v>
      </c>
      <c r="K38" s="7"/>
      <c r="L38" s="16">
        <f t="shared" si="5"/>
        <v>1009.77</v>
      </c>
      <c r="M38" s="7">
        <v>450.36</v>
      </c>
      <c r="N38" s="7"/>
      <c r="O38" s="7"/>
      <c r="P38" s="7"/>
      <c r="Q38" s="16">
        <f t="shared" si="4"/>
        <v>5289.2599999999993</v>
      </c>
      <c r="R38" s="7">
        <v>19.91</v>
      </c>
      <c r="S38" s="7">
        <f>308.61+162.13</f>
        <v>470.74</v>
      </c>
      <c r="T38" s="7">
        <v>12.49</v>
      </c>
      <c r="U38" s="7">
        <v>86.96</v>
      </c>
      <c r="V38" s="16">
        <f t="shared" si="3"/>
        <v>590.1</v>
      </c>
      <c r="W38" s="16">
        <f t="shared" si="6"/>
        <v>4699.1599999999989</v>
      </c>
    </row>
    <row r="39" spans="1:23" x14ac:dyDescent="0.25">
      <c r="A39" s="5" t="s">
        <v>45</v>
      </c>
      <c r="B39" s="6" t="s">
        <v>58</v>
      </c>
      <c r="C39" s="6" t="s">
        <v>81</v>
      </c>
      <c r="D39" s="16">
        <v>3623.52</v>
      </c>
      <c r="E39" s="7"/>
      <c r="F39" s="7"/>
      <c r="G39" s="7"/>
      <c r="H39" s="7">
        <v>660</v>
      </c>
      <c r="I39" s="7">
        <v>356</v>
      </c>
      <c r="J39" s="22">
        <v>386.21</v>
      </c>
      <c r="K39" s="7"/>
      <c r="L39" s="16">
        <f t="shared" si="5"/>
        <v>1402.21</v>
      </c>
      <c r="M39" s="10"/>
      <c r="N39" s="7"/>
      <c r="O39" s="7"/>
      <c r="P39" s="7"/>
      <c r="Q39" s="16">
        <f t="shared" si="4"/>
        <v>5025.7299999999996</v>
      </c>
      <c r="R39" s="7">
        <v>127.61</v>
      </c>
      <c r="S39" s="7">
        <v>397.49</v>
      </c>
      <c r="T39" s="7">
        <f>36.24+9.96</f>
        <v>46.2</v>
      </c>
      <c r="U39" s="7">
        <v>144.94</v>
      </c>
      <c r="V39" s="16">
        <f t="shared" si="3"/>
        <v>716.24</v>
      </c>
      <c r="W39" s="16">
        <f t="shared" si="6"/>
        <v>4309.49</v>
      </c>
    </row>
    <row r="40" spans="1:23" x14ac:dyDescent="0.25">
      <c r="A40" s="6" t="s">
        <v>46</v>
      </c>
      <c r="B40" s="6" t="s">
        <v>58</v>
      </c>
      <c r="C40" s="6" t="s">
        <v>81</v>
      </c>
      <c r="D40" s="16">
        <v>3623.52</v>
      </c>
      <c r="E40" s="7"/>
      <c r="F40" s="7"/>
      <c r="G40" s="7"/>
      <c r="H40" s="7">
        <v>660</v>
      </c>
      <c r="I40" s="7">
        <v>500</v>
      </c>
      <c r="J40" s="22">
        <v>318.41000000000003</v>
      </c>
      <c r="K40" s="7"/>
      <c r="L40" s="16">
        <f t="shared" si="5"/>
        <v>1478.41</v>
      </c>
      <c r="M40" s="7"/>
      <c r="N40" s="7">
        <v>147.66</v>
      </c>
      <c r="O40" s="7"/>
      <c r="P40" s="7">
        <v>1680.7</v>
      </c>
      <c r="Q40" s="16">
        <f t="shared" si="4"/>
        <v>6930.29</v>
      </c>
      <c r="R40" s="7">
        <v>464.99</v>
      </c>
      <c r="S40" s="7">
        <v>599.71</v>
      </c>
      <c r="T40" s="7">
        <f>36.24+12.49</f>
        <v>48.730000000000004</v>
      </c>
      <c r="U40" s="7">
        <v>144.94</v>
      </c>
      <c r="V40" s="16">
        <f t="shared" si="3"/>
        <v>1258.3700000000001</v>
      </c>
      <c r="W40" s="16">
        <f t="shared" si="6"/>
        <v>5671.92</v>
      </c>
    </row>
    <row r="41" spans="1:23" x14ac:dyDescent="0.25">
      <c r="A41" s="5" t="s">
        <v>104</v>
      </c>
      <c r="B41" s="6" t="s">
        <v>59</v>
      </c>
      <c r="C41" s="6" t="s">
        <v>89</v>
      </c>
      <c r="D41" s="16">
        <v>3623.52</v>
      </c>
      <c r="E41" s="7"/>
      <c r="F41" s="7"/>
      <c r="G41" s="7"/>
      <c r="H41" s="7">
        <v>660</v>
      </c>
      <c r="I41" s="7">
        <v>392</v>
      </c>
      <c r="J41" s="22">
        <v>372.32</v>
      </c>
      <c r="K41" s="7"/>
      <c r="L41" s="16">
        <f t="shared" si="5"/>
        <v>1424.32</v>
      </c>
      <c r="M41" s="7"/>
      <c r="N41" s="7"/>
      <c r="O41" s="7"/>
      <c r="P41" s="7"/>
      <c r="Q41" s="16">
        <f t="shared" si="4"/>
        <v>5047.84</v>
      </c>
      <c r="R41" s="7">
        <v>127.25</v>
      </c>
      <c r="S41" s="7">
        <v>397.19</v>
      </c>
      <c r="T41" s="7">
        <f>12.68+12.49</f>
        <v>25.17</v>
      </c>
      <c r="U41" s="7">
        <v>144.94</v>
      </c>
      <c r="V41" s="16">
        <f t="shared" si="3"/>
        <v>694.55</v>
      </c>
      <c r="W41" s="16">
        <f t="shared" si="6"/>
        <v>4353.29</v>
      </c>
    </row>
    <row r="42" spans="1:23" x14ac:dyDescent="0.25">
      <c r="A42" s="6" t="s">
        <v>112</v>
      </c>
      <c r="B42" s="6" t="s">
        <v>66</v>
      </c>
      <c r="C42" s="6" t="s">
        <v>86</v>
      </c>
      <c r="D42" s="16">
        <v>8287.5</v>
      </c>
      <c r="E42" s="7"/>
      <c r="F42" s="7"/>
      <c r="G42" s="7"/>
      <c r="H42" s="7">
        <v>660</v>
      </c>
      <c r="I42" s="7">
        <v>392</v>
      </c>
      <c r="J42" s="26">
        <v>351.3</v>
      </c>
      <c r="K42" s="7">
        <v>260</v>
      </c>
      <c r="L42" s="16">
        <f t="shared" si="5"/>
        <v>1663.3</v>
      </c>
      <c r="M42" s="7"/>
      <c r="N42" s="7"/>
      <c r="O42" s="7"/>
      <c r="P42" s="7"/>
      <c r="Q42" s="16">
        <f t="shared" si="4"/>
        <v>9950.7999999999993</v>
      </c>
      <c r="R42" s="7">
        <v>1186.45</v>
      </c>
      <c r="S42" s="7">
        <v>608.44000000000005</v>
      </c>
      <c r="T42" s="7">
        <v>13.81</v>
      </c>
      <c r="U42" s="7">
        <v>331.5</v>
      </c>
      <c r="V42" s="16">
        <f t="shared" si="3"/>
        <v>2140.1999999999998</v>
      </c>
      <c r="W42" s="16">
        <f t="shared" si="6"/>
        <v>7810.5999999999995</v>
      </c>
    </row>
    <row r="43" spans="1:23" x14ac:dyDescent="0.25">
      <c r="A43" s="5" t="s">
        <v>47</v>
      </c>
      <c r="B43" s="6" t="s">
        <v>66</v>
      </c>
      <c r="C43" s="6" t="s">
        <v>86</v>
      </c>
      <c r="D43" s="16">
        <v>5248.75</v>
      </c>
      <c r="E43" s="7">
        <f>21.84+3038.75+3.64</f>
        <v>3064.23</v>
      </c>
      <c r="F43" s="7"/>
      <c r="G43" s="7">
        <f>266.24+44.37</f>
        <v>310.61</v>
      </c>
      <c r="H43" s="7">
        <v>363</v>
      </c>
      <c r="I43" s="7"/>
      <c r="J43" s="26">
        <v>351.3</v>
      </c>
      <c r="K43" s="7"/>
      <c r="L43" s="16">
        <f t="shared" si="5"/>
        <v>714.3</v>
      </c>
      <c r="M43" s="7">
        <v>1021.41</v>
      </c>
      <c r="N43" s="7"/>
      <c r="O43" s="7"/>
      <c r="P43" s="7"/>
      <c r="Q43" s="16">
        <f t="shared" si="4"/>
        <v>10359.299999999999</v>
      </c>
      <c r="R43" s="7">
        <f>615.73+190.63</f>
        <v>806.36</v>
      </c>
      <c r="S43" s="7">
        <f>159.02+449.42</f>
        <v>608.44000000000005</v>
      </c>
      <c r="T43" s="7"/>
      <c r="U43" s="7"/>
      <c r="V43" s="16">
        <f t="shared" si="3"/>
        <v>1414.8000000000002</v>
      </c>
      <c r="W43" s="16">
        <f t="shared" si="6"/>
        <v>8944.5</v>
      </c>
    </row>
    <row r="44" spans="1:23" x14ac:dyDescent="0.25">
      <c r="A44" s="5" t="s">
        <v>48</v>
      </c>
      <c r="B44" s="6" t="s">
        <v>66</v>
      </c>
      <c r="C44" s="6" t="s">
        <v>85</v>
      </c>
      <c r="D44" s="16">
        <v>8287.5</v>
      </c>
      <c r="E44" s="7"/>
      <c r="F44" s="7"/>
      <c r="G44" s="7"/>
      <c r="H44" s="7">
        <v>660</v>
      </c>
      <c r="I44" s="7"/>
      <c r="J44" s="22">
        <v>318.41000000000003</v>
      </c>
      <c r="K44" s="7"/>
      <c r="L44" s="16">
        <f t="shared" si="5"/>
        <v>978.41000000000008</v>
      </c>
      <c r="M44" s="7"/>
      <c r="N44" s="7"/>
      <c r="O44" s="7"/>
      <c r="P44" s="7"/>
      <c r="Q44" s="16">
        <f t="shared" si="4"/>
        <v>9265.91</v>
      </c>
      <c r="R44" s="7">
        <v>1213.8900000000001</v>
      </c>
      <c r="S44" s="7">
        <v>608.44000000000005</v>
      </c>
      <c r="T44" s="7">
        <f>12.49+103.59</f>
        <v>116.08</v>
      </c>
      <c r="U44" s="7"/>
      <c r="V44" s="16">
        <f t="shared" si="3"/>
        <v>1938.41</v>
      </c>
      <c r="W44" s="16">
        <f t="shared" si="6"/>
        <v>7327.5</v>
      </c>
    </row>
    <row r="45" spans="1:23" x14ac:dyDescent="0.25">
      <c r="A45" s="5" t="s">
        <v>49</v>
      </c>
      <c r="B45" s="6" t="s">
        <v>58</v>
      </c>
      <c r="C45" s="6" t="s">
        <v>81</v>
      </c>
      <c r="D45" s="16">
        <v>3623.52</v>
      </c>
      <c r="E45" s="7"/>
      <c r="F45" s="7"/>
      <c r="G45" s="7"/>
      <c r="H45" s="7">
        <v>660</v>
      </c>
      <c r="I45" s="7">
        <v>484</v>
      </c>
      <c r="J45" s="22">
        <v>507.74</v>
      </c>
      <c r="K45" s="7"/>
      <c r="L45" s="16">
        <f t="shared" si="5"/>
        <v>1651.74</v>
      </c>
      <c r="M45" s="7"/>
      <c r="N45" s="7"/>
      <c r="O45" s="7"/>
      <c r="P45" s="7"/>
      <c r="Q45" s="16">
        <f t="shared" si="4"/>
        <v>5275.26</v>
      </c>
      <c r="R45" s="7">
        <v>70.33</v>
      </c>
      <c r="S45" s="7">
        <v>397.16</v>
      </c>
      <c r="T45" s="7">
        <f>36.24+37.47+12.98</f>
        <v>86.690000000000012</v>
      </c>
      <c r="U45" s="7">
        <v>144.94</v>
      </c>
      <c r="V45" s="16">
        <f t="shared" si="3"/>
        <v>699.12000000000012</v>
      </c>
      <c r="W45" s="16">
        <f t="shared" si="6"/>
        <v>4576.1400000000003</v>
      </c>
    </row>
    <row r="46" spans="1:23" x14ac:dyDescent="0.25">
      <c r="A46" s="5" t="s">
        <v>50</v>
      </c>
      <c r="B46" s="6" t="s">
        <v>122</v>
      </c>
      <c r="C46" s="6" t="s">
        <v>85</v>
      </c>
      <c r="D46" s="16">
        <v>8287.5</v>
      </c>
      <c r="E46" s="7"/>
      <c r="F46" s="7"/>
      <c r="G46" s="7"/>
      <c r="H46" s="7">
        <v>660</v>
      </c>
      <c r="I46" s="7">
        <v>172</v>
      </c>
      <c r="J46" s="22"/>
      <c r="K46" s="7"/>
      <c r="L46" s="16">
        <f t="shared" si="5"/>
        <v>832</v>
      </c>
      <c r="M46" s="7"/>
      <c r="N46" s="7"/>
      <c r="O46" s="7"/>
      <c r="P46" s="7">
        <v>4422.16</v>
      </c>
      <c r="Q46" s="16">
        <f t="shared" si="4"/>
        <v>13541.66</v>
      </c>
      <c r="R46" s="7">
        <v>2458.48</v>
      </c>
      <c r="S46" s="7">
        <v>608.44000000000005</v>
      </c>
      <c r="T46" s="7"/>
      <c r="U46" s="7">
        <v>172</v>
      </c>
      <c r="V46" s="16">
        <f t="shared" si="3"/>
        <v>3238.92</v>
      </c>
      <c r="W46" s="16">
        <f t="shared" si="6"/>
        <v>10302.74</v>
      </c>
    </row>
    <row r="47" spans="1:23" x14ac:dyDescent="0.25">
      <c r="A47" s="5" t="s">
        <v>51</v>
      </c>
      <c r="B47" s="6" t="s">
        <v>77</v>
      </c>
      <c r="C47" s="6" t="s">
        <v>83</v>
      </c>
      <c r="D47" s="16">
        <v>6995.3</v>
      </c>
      <c r="E47" s="7"/>
      <c r="F47" s="7"/>
      <c r="G47" s="7">
        <f>28.86+4.81</f>
        <v>33.67</v>
      </c>
      <c r="H47" s="7">
        <v>660</v>
      </c>
      <c r="I47" s="7">
        <v>144</v>
      </c>
      <c r="J47" s="26">
        <v>351.3</v>
      </c>
      <c r="K47" s="7"/>
      <c r="L47" s="16">
        <f t="shared" si="5"/>
        <v>1155.3</v>
      </c>
      <c r="M47" s="7"/>
      <c r="N47" s="7"/>
      <c r="O47" s="7"/>
      <c r="P47" s="7"/>
      <c r="Q47" s="16">
        <f t="shared" si="4"/>
        <v>8184.27</v>
      </c>
      <c r="R47" s="7">
        <v>885.23</v>
      </c>
      <c r="S47" s="7">
        <v>608.44000000000005</v>
      </c>
      <c r="T47" s="7">
        <v>40.22</v>
      </c>
      <c r="U47" s="7">
        <v>144</v>
      </c>
      <c r="V47" s="16">
        <f t="shared" si="3"/>
        <v>1677.89</v>
      </c>
      <c r="W47" s="16">
        <f t="shared" si="6"/>
        <v>6506.38</v>
      </c>
    </row>
    <row r="48" spans="1:23" x14ac:dyDescent="0.25">
      <c r="A48" s="6" t="s">
        <v>53</v>
      </c>
      <c r="B48" s="6" t="s">
        <v>73</v>
      </c>
      <c r="C48" s="6" t="s">
        <v>83</v>
      </c>
      <c r="D48" s="16">
        <v>3623.52</v>
      </c>
      <c r="E48" s="7"/>
      <c r="F48" s="7"/>
      <c r="G48" s="7"/>
      <c r="H48" s="7">
        <v>660</v>
      </c>
      <c r="I48" s="7">
        <v>574</v>
      </c>
      <c r="J48" s="22">
        <v>372.32</v>
      </c>
      <c r="K48" s="7"/>
      <c r="L48" s="16">
        <f t="shared" si="5"/>
        <v>1606.32</v>
      </c>
      <c r="M48" s="7"/>
      <c r="N48" s="7"/>
      <c r="O48" s="7"/>
      <c r="P48" s="7"/>
      <c r="Q48" s="16">
        <f t="shared" si="4"/>
        <v>5229.84</v>
      </c>
      <c r="R48" s="7">
        <v>122.57</v>
      </c>
      <c r="S48" s="7">
        <v>393.34</v>
      </c>
      <c r="T48" s="7">
        <f>36.24+47.71</f>
        <v>83.95</v>
      </c>
      <c r="U48" s="7">
        <v>144.94</v>
      </c>
      <c r="V48" s="16">
        <f t="shared" si="3"/>
        <v>744.8</v>
      </c>
      <c r="W48" s="16">
        <f t="shared" si="6"/>
        <v>4485.04</v>
      </c>
    </row>
    <row r="49" spans="1:23" x14ac:dyDescent="0.25">
      <c r="A49" s="6" t="s">
        <v>54</v>
      </c>
      <c r="B49" s="6" t="s">
        <v>79</v>
      </c>
      <c r="C49" s="6" t="s">
        <v>87</v>
      </c>
      <c r="D49" s="16">
        <v>4430.3599999999997</v>
      </c>
      <c r="E49" s="7">
        <f>2564.94+28.86+15.74+4.81+2.62</f>
        <v>2616.9699999999998</v>
      </c>
      <c r="F49" s="7"/>
      <c r="G49" s="7"/>
      <c r="H49" s="7">
        <v>363</v>
      </c>
      <c r="I49" s="7">
        <v>94.6</v>
      </c>
      <c r="J49" s="22">
        <v>370.86</v>
      </c>
      <c r="K49" s="7"/>
      <c r="L49" s="16">
        <f t="shared" si="5"/>
        <v>828.46</v>
      </c>
      <c r="M49" s="7">
        <v>872.32</v>
      </c>
      <c r="N49" s="7"/>
      <c r="O49" s="7"/>
      <c r="P49" s="7"/>
      <c r="Q49" s="16">
        <f t="shared" si="4"/>
        <v>8748.11</v>
      </c>
      <c r="R49" s="7">
        <f>310.16+111.02</f>
        <v>421.18</v>
      </c>
      <c r="S49" s="7">
        <f>224.62+383.82</f>
        <v>608.44000000000005</v>
      </c>
      <c r="T49" s="7"/>
      <c r="U49" s="7">
        <v>94.6</v>
      </c>
      <c r="V49" s="16">
        <f t="shared" si="3"/>
        <v>1124.22</v>
      </c>
      <c r="W49" s="16">
        <f t="shared" si="6"/>
        <v>7623.89</v>
      </c>
    </row>
    <row r="50" spans="1:23" x14ac:dyDescent="0.25">
      <c r="A50" s="5" t="s">
        <v>111</v>
      </c>
      <c r="B50" s="6" t="s">
        <v>62</v>
      </c>
      <c r="C50" s="6" t="s">
        <v>85</v>
      </c>
      <c r="D50" s="16">
        <v>1348.19</v>
      </c>
      <c r="E50" s="7"/>
      <c r="F50" s="7"/>
      <c r="G50" s="7"/>
      <c r="H50" s="7">
        <v>660</v>
      </c>
      <c r="I50" s="7">
        <v>320</v>
      </c>
      <c r="J50" s="22"/>
      <c r="K50" s="7"/>
      <c r="L50" s="16">
        <f t="shared" si="5"/>
        <v>980</v>
      </c>
      <c r="M50" s="7"/>
      <c r="N50" s="7"/>
      <c r="O50" s="7"/>
      <c r="P50" s="7"/>
      <c r="Q50" s="16">
        <f t="shared" si="4"/>
        <v>2328.19</v>
      </c>
      <c r="R50" s="7"/>
      <c r="S50" s="7"/>
      <c r="T50" s="7"/>
      <c r="U50" s="7"/>
      <c r="V50" s="16">
        <f t="shared" si="3"/>
        <v>0</v>
      </c>
      <c r="W50" s="16">
        <f t="shared" si="6"/>
        <v>2328.19</v>
      </c>
    </row>
    <row r="51" spans="1:23" x14ac:dyDescent="0.25">
      <c r="A51" s="5" t="s">
        <v>55</v>
      </c>
      <c r="B51" s="6" t="s">
        <v>58</v>
      </c>
      <c r="C51" s="6" t="s">
        <v>85</v>
      </c>
      <c r="D51" s="16">
        <v>3623.52</v>
      </c>
      <c r="E51" s="7"/>
      <c r="F51" s="7"/>
      <c r="G51" s="7"/>
      <c r="H51" s="7">
        <v>660</v>
      </c>
      <c r="I51" s="7">
        <v>698</v>
      </c>
      <c r="J51" s="22">
        <v>351.3</v>
      </c>
      <c r="K51" s="7"/>
      <c r="L51" s="16">
        <f t="shared" si="5"/>
        <v>1709.3</v>
      </c>
      <c r="M51" s="7"/>
      <c r="N51" s="7"/>
      <c r="O51" s="7">
        <v>500</v>
      </c>
      <c r="P51" s="7"/>
      <c r="Q51" s="16">
        <f>D51+E51+F51+G51+L51+M51+N51+P51+O51</f>
        <v>5832.82</v>
      </c>
      <c r="R51" s="7">
        <v>137.19</v>
      </c>
      <c r="S51" s="7">
        <v>343.59</v>
      </c>
      <c r="T51" s="7">
        <f>36.24+12.49</f>
        <v>48.730000000000004</v>
      </c>
      <c r="U51" s="7">
        <v>144.94</v>
      </c>
      <c r="V51" s="16">
        <f t="shared" si="3"/>
        <v>674.45</v>
      </c>
      <c r="W51" s="16">
        <f t="shared" si="6"/>
        <v>5158.37</v>
      </c>
    </row>
    <row r="52" spans="1:23" x14ac:dyDescent="0.25">
      <c r="A52" s="6" t="s">
        <v>56</v>
      </c>
      <c r="B52" s="6" t="s">
        <v>121</v>
      </c>
      <c r="C52" s="6" t="s">
        <v>89</v>
      </c>
      <c r="D52" s="16">
        <v>6995.3</v>
      </c>
      <c r="E52" s="7"/>
      <c r="F52" s="7"/>
      <c r="G52" s="7"/>
      <c r="H52" s="7">
        <v>660</v>
      </c>
      <c r="I52" s="7"/>
      <c r="J52" s="22"/>
      <c r="K52" s="7"/>
      <c r="L52" s="16">
        <f t="shared" si="5"/>
        <v>660</v>
      </c>
      <c r="M52" s="7"/>
      <c r="N52" s="7"/>
      <c r="O52" s="7"/>
      <c r="P52" s="7">
        <v>5714.36</v>
      </c>
      <c r="Q52" s="16">
        <f>D52+E52+F52+G52+L52+M52+N52+P52</f>
        <v>13369.66</v>
      </c>
      <c r="R52" s="7">
        <v>2458.48</v>
      </c>
      <c r="S52" s="7">
        <v>608.44000000000005</v>
      </c>
      <c r="T52" s="7"/>
      <c r="U52" s="7"/>
      <c r="V52" s="16">
        <f t="shared" si="3"/>
        <v>3066.92</v>
      </c>
      <c r="W52" s="16">
        <f t="shared" si="6"/>
        <v>10302.74</v>
      </c>
    </row>
    <row r="53" spans="1:23" x14ac:dyDescent="0.25">
      <c r="A53" s="5" t="s">
        <v>127</v>
      </c>
      <c r="B53" s="6" t="s">
        <v>62</v>
      </c>
      <c r="C53" s="6" t="s">
        <v>87</v>
      </c>
      <c r="D53" s="16">
        <v>1348.19</v>
      </c>
      <c r="E53" s="7"/>
      <c r="F53" s="7"/>
      <c r="G53" s="7"/>
      <c r="H53" s="7">
        <v>660</v>
      </c>
      <c r="I53" s="7">
        <v>320</v>
      </c>
      <c r="J53" s="22"/>
      <c r="K53" s="7"/>
      <c r="L53" s="16">
        <f t="shared" si="5"/>
        <v>980</v>
      </c>
      <c r="M53" s="7"/>
      <c r="N53" s="7"/>
      <c r="O53" s="7"/>
      <c r="P53" s="7"/>
      <c r="Q53" s="16">
        <f>D53+E53+F53+G53+L53+M53+N53+P53</f>
        <v>2328.19</v>
      </c>
      <c r="R53" s="7"/>
      <c r="S53" s="7"/>
      <c r="T53" s="7"/>
      <c r="U53" s="7"/>
      <c r="V53" s="16">
        <f t="shared" si="3"/>
        <v>0</v>
      </c>
      <c r="W53" s="16">
        <f t="shared" si="6"/>
        <v>2328.19</v>
      </c>
    </row>
    <row r="54" spans="1:23" hidden="1" x14ac:dyDescent="0.25">
      <c r="H54" s="1">
        <f>SUM(H5:H53)</f>
        <v>30723</v>
      </c>
      <c r="I54" s="1">
        <f>SUM(I5:I53)</f>
        <v>11320.000000000002</v>
      </c>
      <c r="J54" s="1">
        <f>SUM(J5:J53)</f>
        <v>13098.169999999995</v>
      </c>
      <c r="K54" s="1"/>
      <c r="L54" s="1"/>
      <c r="Q54" s="3"/>
      <c r="W54" s="1">
        <f>SUM(W5:W53)</f>
        <v>276851.77</v>
      </c>
    </row>
    <row r="55" spans="1:23" x14ac:dyDescent="0.25">
      <c r="H55" s="1"/>
      <c r="I55" s="1"/>
      <c r="J55" s="1"/>
      <c r="K55" s="1"/>
      <c r="L55" s="1"/>
      <c r="Q55" s="3"/>
      <c r="W55" s="1"/>
    </row>
    <row r="56" spans="1:23" x14ac:dyDescent="0.25">
      <c r="Q56" s="3"/>
    </row>
    <row r="57" spans="1:23" ht="19.5" x14ac:dyDescent="0.3">
      <c r="A57" s="17" t="s">
        <v>95</v>
      </c>
      <c r="Q57" s="3"/>
    </row>
    <row r="58" spans="1:23" ht="19.5" x14ac:dyDescent="0.25">
      <c r="A58" s="20" t="s">
        <v>0</v>
      </c>
      <c r="B58" s="21" t="s">
        <v>1</v>
      </c>
      <c r="C58" s="21" t="s">
        <v>2</v>
      </c>
      <c r="D58" s="21" t="s">
        <v>98</v>
      </c>
      <c r="E58" s="21" t="s">
        <v>97</v>
      </c>
      <c r="F58" s="21" t="s">
        <v>10</v>
      </c>
      <c r="G58" s="20" t="s">
        <v>11</v>
      </c>
      <c r="H58" s="18"/>
      <c r="I58" s="18"/>
      <c r="J58" s="18"/>
      <c r="K58" s="18"/>
      <c r="L58" s="21" t="s">
        <v>96</v>
      </c>
      <c r="M58" s="19"/>
      <c r="N58" s="19"/>
      <c r="O58" s="19"/>
      <c r="P58" s="19"/>
      <c r="Q58" s="19"/>
      <c r="R58" s="19"/>
      <c r="S58" s="19"/>
      <c r="T58" s="19"/>
      <c r="U58" s="19"/>
    </row>
    <row r="59" spans="1:23" x14ac:dyDescent="0.25">
      <c r="A59" s="6"/>
      <c r="B59" s="6"/>
      <c r="C59" s="6"/>
      <c r="D59" s="16"/>
      <c r="Q59" s="3"/>
    </row>
    <row r="60" spans="1:23" x14ac:dyDescent="0.25">
      <c r="Q60" s="3"/>
    </row>
    <row r="61" spans="1:23" x14ac:dyDescent="0.25">
      <c r="Q61" s="3"/>
    </row>
    <row r="62" spans="1:23" x14ac:dyDescent="0.25">
      <c r="Q62" s="3"/>
    </row>
    <row r="63" spans="1:23" x14ac:dyDescent="0.25">
      <c r="Q63" s="3"/>
    </row>
    <row r="64" spans="1:23" x14ac:dyDescent="0.25">
      <c r="Q64" s="3"/>
    </row>
    <row r="65" spans="17:17" x14ac:dyDescent="0.25">
      <c r="Q65" s="3"/>
    </row>
    <row r="66" spans="17:17" x14ac:dyDescent="0.25">
      <c r="Q66" s="3"/>
    </row>
    <row r="67" spans="17:17" x14ac:dyDescent="0.25">
      <c r="Q67" s="3"/>
    </row>
    <row r="68" spans="17:17" x14ac:dyDescent="0.25">
      <c r="Q68" s="3"/>
    </row>
    <row r="69" spans="17:17" x14ac:dyDescent="0.25">
      <c r="Q69" s="3"/>
    </row>
    <row r="70" spans="17:17" x14ac:dyDescent="0.25">
      <c r="Q70" s="3"/>
    </row>
    <row r="71" spans="17:17" x14ac:dyDescent="0.25">
      <c r="Q71" s="3"/>
    </row>
    <row r="72" spans="17:17" x14ac:dyDescent="0.25">
      <c r="Q72" s="3"/>
    </row>
    <row r="73" spans="17:17" x14ac:dyDescent="0.25">
      <c r="Q73" s="3"/>
    </row>
    <row r="74" spans="17:17" x14ac:dyDescent="0.25">
      <c r="Q74" s="3"/>
    </row>
    <row r="75" spans="17:17" x14ac:dyDescent="0.25">
      <c r="Q75" s="3"/>
    </row>
    <row r="76" spans="17:17" x14ac:dyDescent="0.25">
      <c r="Q76" s="3"/>
    </row>
    <row r="77" spans="17:17" x14ac:dyDescent="0.25">
      <c r="Q77" s="3"/>
    </row>
    <row r="78" spans="17:17" x14ac:dyDescent="0.25">
      <c r="Q78" s="3"/>
    </row>
    <row r="79" spans="17:17" x14ac:dyDescent="0.25">
      <c r="Q79" s="3"/>
    </row>
    <row r="80" spans="17:17" x14ac:dyDescent="0.25">
      <c r="Q80" s="3"/>
    </row>
    <row r="81" spans="17:17" x14ac:dyDescent="0.25">
      <c r="Q81" s="3"/>
    </row>
    <row r="82" spans="17:17" x14ac:dyDescent="0.25">
      <c r="Q82" s="3"/>
    </row>
    <row r="83" spans="17:17" x14ac:dyDescent="0.25">
      <c r="Q83" s="3"/>
    </row>
    <row r="84" spans="17:17" x14ac:dyDescent="0.25">
      <c r="Q84" s="3"/>
    </row>
    <row r="85" spans="17:17" x14ac:dyDescent="0.25">
      <c r="Q85" s="3"/>
    </row>
    <row r="86" spans="17:17" x14ac:dyDescent="0.25">
      <c r="Q86" s="3"/>
    </row>
    <row r="87" spans="17:17" x14ac:dyDescent="0.25">
      <c r="Q87" s="3"/>
    </row>
    <row r="88" spans="17:17" x14ac:dyDescent="0.25">
      <c r="Q88" s="3"/>
    </row>
    <row r="89" spans="17:17" x14ac:dyDescent="0.25">
      <c r="Q89" s="3"/>
    </row>
    <row r="90" spans="17:17" x14ac:dyDescent="0.25">
      <c r="Q90" s="3"/>
    </row>
    <row r="91" spans="17:17" x14ac:dyDescent="0.25">
      <c r="Q91" s="3"/>
    </row>
    <row r="92" spans="17:17" x14ac:dyDescent="0.25">
      <c r="Q92" s="3"/>
    </row>
    <row r="93" spans="17:17" x14ac:dyDescent="0.25">
      <c r="Q93" s="3"/>
    </row>
    <row r="94" spans="17:17" x14ac:dyDescent="0.25">
      <c r="Q94" s="3"/>
    </row>
    <row r="95" spans="17:17" x14ac:dyDescent="0.25">
      <c r="Q95" s="3"/>
    </row>
    <row r="96" spans="17:17" x14ac:dyDescent="0.25">
      <c r="Q96" s="3"/>
    </row>
    <row r="97" spans="17:17" x14ac:dyDescent="0.25">
      <c r="Q97" s="3"/>
    </row>
    <row r="98" spans="17:17" x14ac:dyDescent="0.25">
      <c r="Q98" s="3"/>
    </row>
    <row r="99" spans="17:17" x14ac:dyDescent="0.25">
      <c r="Q99" s="3"/>
    </row>
    <row r="100" spans="17:17" x14ac:dyDescent="0.25">
      <c r="Q100" s="3"/>
    </row>
    <row r="101" spans="17:17" x14ac:dyDescent="0.25">
      <c r="Q101" s="3"/>
    </row>
    <row r="102" spans="17:17" x14ac:dyDescent="0.25">
      <c r="Q102" s="3"/>
    </row>
    <row r="103" spans="17:17" x14ac:dyDescent="0.25">
      <c r="Q103" s="3"/>
    </row>
    <row r="104" spans="17:17" x14ac:dyDescent="0.25">
      <c r="Q104" s="3"/>
    </row>
    <row r="105" spans="17:17" x14ac:dyDescent="0.25">
      <c r="Q105" s="3"/>
    </row>
    <row r="106" spans="17:17" x14ac:dyDescent="0.25">
      <c r="Q106" s="3"/>
    </row>
    <row r="107" spans="17:17" x14ac:dyDescent="0.25">
      <c r="Q107" s="3"/>
    </row>
    <row r="108" spans="17:17" x14ac:dyDescent="0.25">
      <c r="Q108" s="3"/>
    </row>
    <row r="109" spans="17:17" x14ac:dyDescent="0.25">
      <c r="Q109" s="3"/>
    </row>
    <row r="110" spans="17:17" x14ac:dyDescent="0.25">
      <c r="Q110" s="3"/>
    </row>
    <row r="111" spans="17:17" x14ac:dyDescent="0.25">
      <c r="Q111" s="3"/>
    </row>
    <row r="112" spans="17:17" x14ac:dyDescent="0.25">
      <c r="Q112" s="3"/>
    </row>
  </sheetData>
  <autoFilter ref="A4:W59"/>
  <sortState ref="A5:W53">
    <sortCondition ref="A4"/>
  </sortState>
  <pageMargins left="0.51181102362204722" right="0.51181102362204722" top="0.78740157480314965" bottom="0.78740157480314965" header="0.31496062992125984" footer="0.31496062992125984"/>
  <pageSetup paperSize="9" scale="34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showGridLines="0" zoomScaleNormal="100" workbookViewId="0">
      <pane xSplit="1" ySplit="4" topLeftCell="O78" activePane="bottomRight" state="frozen"/>
      <selection activeCell="V68" sqref="V68"/>
      <selection pane="topRight" activeCell="V68" sqref="V68"/>
      <selection pane="bottomLeft" activeCell="V68" sqref="V68"/>
      <selection pane="bottomRight" sqref="A1:W92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5" width="22.140625" style="2" customWidth="1"/>
    <col min="16" max="16" width="16.28515625" style="2" customWidth="1"/>
    <col min="17" max="17" width="20.28515625" style="2" customWidth="1"/>
    <col min="18" max="18" width="13" style="2" bestFit="1" customWidth="1"/>
    <col min="19" max="19" width="12.140625" style="2" bestFit="1" customWidth="1"/>
    <col min="20" max="20" width="18.85546875" style="2" bestFit="1" customWidth="1"/>
    <col min="21" max="21" width="11.42578125" style="2" bestFit="1" customWidth="1"/>
    <col min="22" max="22" width="17.5703125" style="2" bestFit="1" customWidth="1"/>
    <col min="23" max="23" width="14.85546875" style="2" bestFit="1" customWidth="1"/>
    <col min="24" max="16384" width="9.140625" style="2"/>
  </cols>
  <sheetData>
    <row r="1" spans="1:23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x14ac:dyDescent="0.3">
      <c r="A2" s="4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135</v>
      </c>
      <c r="P4" s="20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92</v>
      </c>
      <c r="V4" s="20" t="s">
        <v>13</v>
      </c>
      <c r="W4" s="21" t="s">
        <v>14</v>
      </c>
    </row>
    <row r="5" spans="1:23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627</v>
      </c>
      <c r="I5" s="7">
        <v>494</v>
      </c>
      <c r="J5" s="22">
        <f>428.05+(3.88*5)</f>
        <v>447.45</v>
      </c>
      <c r="K5" s="7"/>
      <c r="L5" s="16">
        <f>H5+I5+K5+J5</f>
        <v>1568.45</v>
      </c>
      <c r="M5" s="7"/>
      <c r="N5" s="7">
        <v>39.26</v>
      </c>
      <c r="O5" s="7"/>
      <c r="P5" s="7"/>
      <c r="Q5" s="16">
        <f t="shared" ref="Q5:Q30" si="0">D5+E5+F5+G5+L5+M5+N5+P5</f>
        <v>5231.2300000000005</v>
      </c>
      <c r="R5" s="7">
        <v>132.49</v>
      </c>
      <c r="S5" s="7">
        <v>401.51</v>
      </c>
      <c r="T5" s="7">
        <f>36.24+12.49+12.68</f>
        <v>61.410000000000004</v>
      </c>
      <c r="U5" s="7">
        <v>137.69</v>
      </c>
      <c r="V5" s="16">
        <f>R5+S5+T5+U5</f>
        <v>733.09999999999991</v>
      </c>
      <c r="W5" s="16">
        <f t="shared" ref="W5:W36" si="1">Q5-V5</f>
        <v>4498.130000000001</v>
      </c>
    </row>
    <row r="6" spans="1:23" x14ac:dyDescent="0.25">
      <c r="A6" s="5" t="s">
        <v>17</v>
      </c>
      <c r="B6" s="6" t="s">
        <v>59</v>
      </c>
      <c r="C6" s="6" t="s">
        <v>89</v>
      </c>
      <c r="D6" s="16">
        <v>3623.52</v>
      </c>
      <c r="E6" s="7"/>
      <c r="F6" s="7"/>
      <c r="G6" s="7"/>
      <c r="H6" s="7">
        <v>627</v>
      </c>
      <c r="I6" s="7"/>
      <c r="J6" s="16"/>
      <c r="K6" s="7">
        <f>260</f>
        <v>260</v>
      </c>
      <c r="L6" s="16">
        <f t="shared" ref="L6:L54" si="2">H6+I6+K6+J6</f>
        <v>887</v>
      </c>
      <c r="M6" s="7"/>
      <c r="N6" s="7"/>
      <c r="O6" s="7"/>
      <c r="P6" s="7"/>
      <c r="Q6" s="16">
        <f t="shared" si="0"/>
        <v>4510.5200000000004</v>
      </c>
      <c r="R6" s="7">
        <v>71.5</v>
      </c>
      <c r="S6" s="7">
        <v>398.12</v>
      </c>
      <c r="T6" s="7">
        <v>4.2300000000000004</v>
      </c>
      <c r="U6" s="7"/>
      <c r="V6" s="16">
        <f>R6+S6+T6+U6</f>
        <v>473.85</v>
      </c>
      <c r="W6" s="16">
        <f t="shared" si="1"/>
        <v>4036.6700000000005</v>
      </c>
    </row>
    <row r="7" spans="1:23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627</v>
      </c>
      <c r="I7" s="7">
        <v>136.80000000000001</v>
      </c>
      <c r="J7" s="22">
        <f>461.79+88.42+88.42+88.42</f>
        <v>727.05</v>
      </c>
      <c r="K7" s="7"/>
      <c r="L7" s="16">
        <f t="shared" si="2"/>
        <v>1490.85</v>
      </c>
      <c r="M7" s="7"/>
      <c r="N7" s="7"/>
      <c r="O7" s="7"/>
      <c r="P7" s="7"/>
      <c r="Q7" s="16">
        <f t="shared" si="0"/>
        <v>6795.07</v>
      </c>
      <c r="R7" s="7">
        <v>340.73</v>
      </c>
      <c r="S7" s="7">
        <v>583.46</v>
      </c>
      <c r="T7" s="7"/>
      <c r="U7" s="7">
        <v>136.80000000000001</v>
      </c>
      <c r="V7" s="16">
        <f>R7+S7+T7+U7</f>
        <v>1060.99</v>
      </c>
      <c r="W7" s="16">
        <f t="shared" si="1"/>
        <v>5734.08</v>
      </c>
    </row>
    <row r="8" spans="1:23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627</v>
      </c>
      <c r="I8" s="7">
        <v>300.2</v>
      </c>
      <c r="J8" s="22">
        <v>450.64</v>
      </c>
      <c r="K8" s="7"/>
      <c r="L8" s="16">
        <f t="shared" si="2"/>
        <v>1377.8400000000001</v>
      </c>
      <c r="M8" s="7"/>
      <c r="N8" s="7"/>
      <c r="O8" s="7"/>
      <c r="P8" s="7"/>
      <c r="Q8" s="16">
        <f t="shared" si="0"/>
        <v>5001.3600000000006</v>
      </c>
      <c r="R8" s="7">
        <v>92.72</v>
      </c>
      <c r="S8" s="7">
        <v>392.18</v>
      </c>
      <c r="T8" s="7">
        <f>36.24+24.98+58.28</f>
        <v>119.5</v>
      </c>
      <c r="U8" s="7">
        <v>137.69</v>
      </c>
      <c r="V8" s="16">
        <f>R8+S8+T8+U8</f>
        <v>742.08999999999992</v>
      </c>
      <c r="W8" s="16">
        <f t="shared" si="1"/>
        <v>4259.2700000000004</v>
      </c>
    </row>
    <row r="9" spans="1:23" x14ac:dyDescent="0.25">
      <c r="A9" s="5" t="s">
        <v>105</v>
      </c>
      <c r="B9" s="6" t="s">
        <v>62</v>
      </c>
      <c r="C9" s="6" t="s">
        <v>83</v>
      </c>
      <c r="D9" s="16">
        <v>1348.19</v>
      </c>
      <c r="E9" s="7"/>
      <c r="F9" s="7"/>
      <c r="G9" s="7"/>
      <c r="H9" s="7">
        <v>627</v>
      </c>
      <c r="I9" s="7">
        <v>163.4</v>
      </c>
      <c r="J9" s="22"/>
      <c r="K9" s="7"/>
      <c r="L9" s="16">
        <f t="shared" si="2"/>
        <v>790.4</v>
      </c>
      <c r="M9" s="10"/>
      <c r="N9" s="7"/>
      <c r="O9" s="7"/>
      <c r="P9" s="7"/>
      <c r="Q9" s="16">
        <f t="shared" si="0"/>
        <v>2138.59</v>
      </c>
      <c r="R9" s="7"/>
      <c r="S9" s="7"/>
      <c r="T9" s="7"/>
      <c r="U9" s="7"/>
      <c r="V9" s="16"/>
      <c r="W9" s="16">
        <f t="shared" si="1"/>
        <v>2138.59</v>
      </c>
    </row>
    <row r="10" spans="1:23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627</v>
      </c>
      <c r="I10" s="7">
        <v>136.80000000000001</v>
      </c>
      <c r="J10" s="22"/>
      <c r="K10" s="7"/>
      <c r="L10" s="16">
        <f t="shared" si="2"/>
        <v>763.8</v>
      </c>
      <c r="M10" s="7"/>
      <c r="N10" s="7"/>
      <c r="O10" s="7"/>
      <c r="P10" s="7"/>
      <c r="Q10" s="16">
        <f t="shared" si="0"/>
        <v>4387.32</v>
      </c>
      <c r="R10" s="7">
        <v>123.82</v>
      </c>
      <c r="S10" s="7">
        <v>394.37</v>
      </c>
      <c r="T10" s="7">
        <f>36.24+38.35</f>
        <v>74.59</v>
      </c>
      <c r="U10" s="7">
        <v>136.80000000000001</v>
      </c>
      <c r="V10" s="16">
        <f t="shared" ref="V10:V54" si="3">R10+S10+T10+U10</f>
        <v>729.58000000000015</v>
      </c>
      <c r="W10" s="16">
        <f t="shared" si="1"/>
        <v>3657.74</v>
      </c>
    </row>
    <row r="11" spans="1:23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627</v>
      </c>
      <c r="I11" s="7"/>
      <c r="J11" s="22">
        <v>363.11</v>
      </c>
      <c r="K11" s="7"/>
      <c r="L11" s="16">
        <f t="shared" si="2"/>
        <v>990.11</v>
      </c>
      <c r="M11" s="10"/>
      <c r="N11" s="7"/>
      <c r="O11" s="7"/>
      <c r="P11" s="7"/>
      <c r="Q11" s="16">
        <f t="shared" si="0"/>
        <v>10667.67</v>
      </c>
      <c r="R11" s="7">
        <v>1624.65</v>
      </c>
      <c r="S11" s="7">
        <v>608.44000000000005</v>
      </c>
      <c r="T11" s="7"/>
      <c r="U11" s="7"/>
      <c r="V11" s="16">
        <f t="shared" si="3"/>
        <v>2233.09</v>
      </c>
      <c r="W11" s="16">
        <f t="shared" si="1"/>
        <v>8434.58</v>
      </c>
    </row>
    <row r="12" spans="1:23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/>
      <c r="H12" s="7">
        <v>627</v>
      </c>
      <c r="I12" s="7">
        <v>300.2</v>
      </c>
      <c r="J12" s="22"/>
      <c r="K12" s="7"/>
      <c r="L12" s="16">
        <f t="shared" si="2"/>
        <v>927.2</v>
      </c>
      <c r="M12" s="7"/>
      <c r="N12" s="7"/>
      <c r="O12" s="7"/>
      <c r="P12" s="7"/>
      <c r="Q12" s="16">
        <f t="shared" si="0"/>
        <v>4550.72</v>
      </c>
      <c r="R12" s="7">
        <v>112.82</v>
      </c>
      <c r="S12" s="7">
        <v>385.3</v>
      </c>
      <c r="T12" s="7">
        <v>120.78</v>
      </c>
      <c r="U12" s="7">
        <v>137.69</v>
      </c>
      <c r="V12" s="16">
        <f t="shared" si="3"/>
        <v>756.58999999999992</v>
      </c>
      <c r="W12" s="16">
        <f t="shared" si="1"/>
        <v>3794.13</v>
      </c>
    </row>
    <row r="13" spans="1:23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528</v>
      </c>
      <c r="I13" s="7">
        <v>137.6</v>
      </c>
      <c r="J13" s="22">
        <f>(849.94*2)+(157.69*4)</f>
        <v>2330.6400000000003</v>
      </c>
      <c r="K13" s="7"/>
      <c r="L13" s="16">
        <f t="shared" si="2"/>
        <v>2996.2400000000002</v>
      </c>
      <c r="M13" s="7"/>
      <c r="N13" s="7"/>
      <c r="O13" s="7"/>
      <c r="P13" s="7"/>
      <c r="Q13" s="16">
        <f t="shared" si="0"/>
        <v>12673.8</v>
      </c>
      <c r="R13" s="7">
        <v>1624.65</v>
      </c>
      <c r="S13" s="7">
        <v>608.44000000000005</v>
      </c>
      <c r="T13" s="7"/>
      <c r="U13" s="7">
        <v>137.6</v>
      </c>
      <c r="V13" s="16">
        <f t="shared" si="3"/>
        <v>2370.69</v>
      </c>
      <c r="W13" s="16">
        <f t="shared" si="1"/>
        <v>10303.109999999999</v>
      </c>
    </row>
    <row r="14" spans="1:23" x14ac:dyDescent="0.25">
      <c r="A14" s="5" t="s">
        <v>103</v>
      </c>
      <c r="B14" s="6" t="s">
        <v>62</v>
      </c>
      <c r="C14" s="6" t="s">
        <v>89</v>
      </c>
      <c r="D14" s="16">
        <v>1348.19</v>
      </c>
      <c r="E14" s="7"/>
      <c r="F14" s="7"/>
      <c r="G14" s="7"/>
      <c r="H14" s="7">
        <v>627</v>
      </c>
      <c r="I14" s="7">
        <v>304</v>
      </c>
      <c r="J14" s="22"/>
      <c r="K14" s="7"/>
      <c r="L14" s="16">
        <f t="shared" si="2"/>
        <v>931</v>
      </c>
      <c r="M14" s="7"/>
      <c r="N14" s="7"/>
      <c r="O14" s="7"/>
      <c r="P14" s="7"/>
      <c r="Q14" s="16">
        <f t="shared" si="0"/>
        <v>2279.19</v>
      </c>
      <c r="R14" s="7"/>
      <c r="S14" s="7"/>
      <c r="T14" s="7"/>
      <c r="U14" s="7"/>
      <c r="V14" s="16">
        <f t="shared" si="3"/>
        <v>0</v>
      </c>
      <c r="W14" s="16">
        <f t="shared" si="1"/>
        <v>2279.19</v>
      </c>
    </row>
    <row r="15" spans="1:23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/>
      <c r="I15" s="7"/>
      <c r="J15" s="22">
        <f>1674.87+(191.53*5)</f>
        <v>2632.52</v>
      </c>
      <c r="K15" s="7"/>
      <c r="L15" s="16">
        <f t="shared" si="2"/>
        <v>2632.52</v>
      </c>
      <c r="M15" s="7"/>
      <c r="N15" s="7"/>
      <c r="O15" s="7"/>
      <c r="P15" s="7">
        <v>1530.26</v>
      </c>
      <c r="Q15" s="16">
        <f t="shared" si="0"/>
        <v>4162.78</v>
      </c>
      <c r="R15" s="7"/>
      <c r="S15" s="7"/>
      <c r="T15" s="7"/>
      <c r="U15" s="7"/>
      <c r="V15" s="16">
        <f t="shared" si="3"/>
        <v>0</v>
      </c>
      <c r="W15" s="16">
        <f t="shared" si="1"/>
        <v>4162.78</v>
      </c>
    </row>
    <row r="16" spans="1:23" x14ac:dyDescent="0.25">
      <c r="A16" s="5" t="s">
        <v>26</v>
      </c>
      <c r="B16" s="6" t="s">
        <v>58</v>
      </c>
      <c r="C16" s="6" t="s">
        <v>81</v>
      </c>
      <c r="D16" s="16">
        <v>2174.11</v>
      </c>
      <c r="E16" s="7">
        <f>14.23+1449.41+2.37</f>
        <v>1466.01</v>
      </c>
      <c r="F16" s="7"/>
      <c r="G16" s="7"/>
      <c r="H16" s="7">
        <v>330</v>
      </c>
      <c r="I16" s="7">
        <v>158</v>
      </c>
      <c r="J16" s="22">
        <f>431.32+(80.03*4)</f>
        <v>751.44</v>
      </c>
      <c r="K16" s="7"/>
      <c r="L16" s="16">
        <f t="shared" si="2"/>
        <v>1239.44</v>
      </c>
      <c r="M16" s="7">
        <v>488.67</v>
      </c>
      <c r="N16" s="7"/>
      <c r="O16" s="7"/>
      <c r="P16" s="7"/>
      <c r="Q16" s="16">
        <f t="shared" si="0"/>
        <v>5368.23</v>
      </c>
      <c r="R16" s="7"/>
      <c r="S16" s="7">
        <f>278.25+175.92</f>
        <v>454.16999999999996</v>
      </c>
      <c r="T16" s="7">
        <f>21.74+12.49</f>
        <v>34.229999999999997</v>
      </c>
      <c r="U16" s="7">
        <v>72.47</v>
      </c>
      <c r="V16" s="16">
        <f t="shared" si="3"/>
        <v>560.87</v>
      </c>
      <c r="W16" s="16">
        <f t="shared" si="1"/>
        <v>4807.3599999999997</v>
      </c>
    </row>
    <row r="17" spans="1:23" x14ac:dyDescent="0.25">
      <c r="A17" s="5" t="s">
        <v>27</v>
      </c>
      <c r="B17" s="6" t="s">
        <v>66</v>
      </c>
      <c r="C17" s="6" t="s">
        <v>86</v>
      </c>
      <c r="D17" s="16">
        <v>5525</v>
      </c>
      <c r="E17" s="7">
        <f>2762.5+2.83+76.08+0.47+58.44</f>
        <v>2900.3199999999997</v>
      </c>
      <c r="F17" s="7"/>
      <c r="G17" s="7">
        <f>274.52+45.75</f>
        <v>320.27</v>
      </c>
      <c r="H17" s="7">
        <v>363</v>
      </c>
      <c r="I17" s="7">
        <v>94.6</v>
      </c>
      <c r="J17" s="22"/>
      <c r="K17" s="7"/>
      <c r="L17" s="16">
        <f t="shared" si="2"/>
        <v>457.6</v>
      </c>
      <c r="M17" s="7">
        <v>941.1</v>
      </c>
      <c r="N17" s="7"/>
      <c r="O17" s="7"/>
      <c r="P17" s="7"/>
      <c r="Q17" s="16">
        <f t="shared" si="0"/>
        <v>10144.290000000001</v>
      </c>
      <c r="R17" s="7">
        <f>677.23+199.7</f>
        <v>876.93000000000006</v>
      </c>
      <c r="S17" s="7">
        <f>194.36+414.08</f>
        <v>608.44000000000005</v>
      </c>
      <c r="T17" s="7">
        <v>26.93</v>
      </c>
      <c r="U17" s="7">
        <v>94.6</v>
      </c>
      <c r="V17" s="16">
        <f t="shared" si="3"/>
        <v>1606.9</v>
      </c>
      <c r="W17" s="16">
        <f t="shared" si="1"/>
        <v>8537.3900000000012</v>
      </c>
    </row>
    <row r="18" spans="1:23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/>
      <c r="H18" s="7">
        <v>627</v>
      </c>
      <c r="I18" s="7"/>
      <c r="J18" s="22"/>
      <c r="K18" s="7"/>
      <c r="L18" s="16">
        <f t="shared" si="2"/>
        <v>627</v>
      </c>
      <c r="M18" s="7"/>
      <c r="N18" s="7"/>
      <c r="O18" s="7"/>
      <c r="P18" s="7"/>
      <c r="Q18" s="16">
        <f t="shared" si="0"/>
        <v>8914.5</v>
      </c>
      <c r="R18" s="7">
        <v>1242.3800000000001</v>
      </c>
      <c r="S18" s="7">
        <v>608.44000000000005</v>
      </c>
      <c r="T18" s="7">
        <v>24.98</v>
      </c>
      <c r="U18" s="7"/>
      <c r="V18" s="16">
        <f t="shared" si="3"/>
        <v>1875.8000000000002</v>
      </c>
      <c r="W18" s="16">
        <f t="shared" si="1"/>
        <v>7038.7</v>
      </c>
    </row>
    <row r="19" spans="1:23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v>627</v>
      </c>
      <c r="I19" s="7"/>
      <c r="J19" s="22">
        <f>611.53+(22.46*2)</f>
        <v>656.44999999999993</v>
      </c>
      <c r="K19" s="7"/>
      <c r="L19" s="16">
        <f t="shared" si="2"/>
        <v>1283.4499999999998</v>
      </c>
      <c r="M19" s="7"/>
      <c r="N19" s="7"/>
      <c r="O19" s="7"/>
      <c r="P19" s="7">
        <v>1549.37</v>
      </c>
      <c r="Q19" s="16">
        <f t="shared" si="0"/>
        <v>15542.48</v>
      </c>
      <c r="R19" s="7">
        <v>2884.55</v>
      </c>
      <c r="S19" s="7">
        <v>608.44000000000005</v>
      </c>
      <c r="T19" s="7"/>
      <c r="U19" s="7"/>
      <c r="V19" s="16">
        <f t="shared" si="3"/>
        <v>3492.9900000000002</v>
      </c>
      <c r="W19" s="16">
        <f t="shared" si="1"/>
        <v>12049.49</v>
      </c>
    </row>
    <row r="20" spans="1:23" x14ac:dyDescent="0.25">
      <c r="A20" s="11" t="s">
        <v>139</v>
      </c>
      <c r="B20" s="6" t="s">
        <v>66</v>
      </c>
      <c r="C20" s="6" t="s">
        <v>86</v>
      </c>
      <c r="D20" s="16">
        <v>2486.25</v>
      </c>
      <c r="E20" s="7"/>
      <c r="F20" s="7"/>
      <c r="G20" s="7"/>
      <c r="H20" s="7"/>
      <c r="I20" s="7"/>
      <c r="J20" s="22"/>
      <c r="K20" s="7"/>
      <c r="L20" s="16">
        <f t="shared" si="2"/>
        <v>0</v>
      </c>
      <c r="M20" s="7"/>
      <c r="N20" s="7"/>
      <c r="O20" s="7"/>
      <c r="P20" s="7"/>
      <c r="Q20" s="16">
        <f t="shared" si="0"/>
        <v>2486.25</v>
      </c>
      <c r="R20" s="7">
        <v>26.89</v>
      </c>
      <c r="S20" s="7">
        <v>223.76</v>
      </c>
      <c r="T20" s="7"/>
      <c r="U20" s="7"/>
      <c r="V20" s="16">
        <f t="shared" si="3"/>
        <v>250.64999999999998</v>
      </c>
      <c r="W20" s="16">
        <f t="shared" si="1"/>
        <v>2235.6</v>
      </c>
    </row>
    <row r="21" spans="1:23" x14ac:dyDescent="0.25">
      <c r="A21" s="5" t="s">
        <v>32</v>
      </c>
      <c r="B21" s="6" t="s">
        <v>70</v>
      </c>
      <c r="C21" s="6" t="s">
        <v>90</v>
      </c>
      <c r="D21" s="16">
        <v>3623.52</v>
      </c>
      <c r="E21" s="7"/>
      <c r="F21" s="7"/>
      <c r="G21" s="7">
        <f>363.56+34.42+66.33</f>
        <v>464.31</v>
      </c>
      <c r="H21" s="7">
        <v>627</v>
      </c>
      <c r="I21" s="7"/>
      <c r="J21" s="22"/>
      <c r="K21" s="7"/>
      <c r="L21" s="16">
        <f t="shared" si="2"/>
        <v>627</v>
      </c>
      <c r="M21" s="7"/>
      <c r="N21" s="7"/>
      <c r="O21" s="7"/>
      <c r="P21" s="7"/>
      <c r="Q21" s="16">
        <f t="shared" si="0"/>
        <v>4714.83</v>
      </c>
      <c r="R21" s="7">
        <v>187.66</v>
      </c>
      <c r="S21" s="7">
        <v>446.97</v>
      </c>
      <c r="T21" s="7">
        <f>36.24+24.46</f>
        <v>60.7</v>
      </c>
      <c r="U21" s="7"/>
      <c r="V21" s="16">
        <f t="shared" si="3"/>
        <v>695.33</v>
      </c>
      <c r="W21" s="16">
        <f t="shared" si="1"/>
        <v>4019.5</v>
      </c>
    </row>
    <row r="22" spans="1:23" x14ac:dyDescent="0.25">
      <c r="A22" s="5" t="s">
        <v>33</v>
      </c>
      <c r="B22" s="6" t="s">
        <v>58</v>
      </c>
      <c r="C22" s="6" t="s">
        <v>81</v>
      </c>
      <c r="D22" s="16">
        <v>3623.52</v>
      </c>
      <c r="E22" s="7"/>
      <c r="F22" s="7"/>
      <c r="G22" s="7"/>
      <c r="H22" s="7">
        <v>627</v>
      </c>
      <c r="I22" s="7"/>
      <c r="J22" s="22">
        <f>504.77+101.7+12.62+72.53+72.53+101.7</f>
        <v>865.85</v>
      </c>
      <c r="K22" s="7"/>
      <c r="L22" s="16">
        <f t="shared" si="2"/>
        <v>1492.85</v>
      </c>
      <c r="M22" s="7"/>
      <c r="N22" s="7"/>
      <c r="O22" s="7"/>
      <c r="P22" s="7"/>
      <c r="Q22" s="16">
        <f t="shared" si="0"/>
        <v>5116.37</v>
      </c>
      <c r="R22" s="7">
        <v>127.33</v>
      </c>
      <c r="S22" s="7">
        <v>397.26</v>
      </c>
      <c r="T22" s="7">
        <f>24.98+12.08</f>
        <v>37.06</v>
      </c>
      <c r="U22" s="7"/>
      <c r="V22" s="16">
        <f t="shared" si="3"/>
        <v>561.65000000000009</v>
      </c>
      <c r="W22" s="16">
        <f t="shared" si="1"/>
        <v>4554.7199999999993</v>
      </c>
    </row>
    <row r="23" spans="1:23" x14ac:dyDescent="0.25">
      <c r="A23" s="5" t="s">
        <v>34</v>
      </c>
      <c r="B23" s="6" t="s">
        <v>67</v>
      </c>
      <c r="C23" s="6" t="s">
        <v>85</v>
      </c>
      <c r="D23" s="16">
        <v>8287.5</v>
      </c>
      <c r="E23" s="7"/>
      <c r="F23" s="7"/>
      <c r="G23" s="7"/>
      <c r="H23" s="7">
        <v>627</v>
      </c>
      <c r="I23" s="7"/>
      <c r="J23" s="26">
        <f>513.08+7.07+(88.91*4)</f>
        <v>875.79000000000008</v>
      </c>
      <c r="K23" s="7"/>
      <c r="L23" s="16">
        <f t="shared" si="2"/>
        <v>1502.79</v>
      </c>
      <c r="M23" s="7"/>
      <c r="N23" s="7"/>
      <c r="O23" s="7"/>
      <c r="P23" s="7"/>
      <c r="Q23" s="16">
        <f t="shared" si="0"/>
        <v>9790.2900000000009</v>
      </c>
      <c r="R23" s="7">
        <v>1242.3800000000001</v>
      </c>
      <c r="S23" s="7">
        <v>608.44000000000005</v>
      </c>
      <c r="T23" s="7"/>
      <c r="U23" s="7"/>
      <c r="V23" s="16">
        <f t="shared" si="3"/>
        <v>1850.8200000000002</v>
      </c>
      <c r="W23" s="16">
        <f t="shared" si="1"/>
        <v>7939.4700000000012</v>
      </c>
    </row>
    <row r="24" spans="1:23" x14ac:dyDescent="0.25">
      <c r="A24" s="5" t="s">
        <v>110</v>
      </c>
      <c r="B24" s="6" t="s">
        <v>62</v>
      </c>
      <c r="C24" s="6" t="s">
        <v>93</v>
      </c>
      <c r="D24" s="16">
        <v>1348.19</v>
      </c>
      <c r="E24" s="7"/>
      <c r="F24" s="7"/>
      <c r="G24" s="7"/>
      <c r="H24" s="7">
        <v>627</v>
      </c>
      <c r="I24" s="7">
        <v>304</v>
      </c>
      <c r="J24" s="22"/>
      <c r="K24" s="7"/>
      <c r="L24" s="16">
        <f t="shared" si="2"/>
        <v>931</v>
      </c>
      <c r="M24" s="7"/>
      <c r="N24" s="7"/>
      <c r="O24" s="7"/>
      <c r="P24" s="7"/>
      <c r="Q24" s="16">
        <f t="shared" si="0"/>
        <v>2279.19</v>
      </c>
      <c r="R24" s="7"/>
      <c r="S24" s="7"/>
      <c r="T24" s="7"/>
      <c r="U24" s="7"/>
      <c r="V24" s="16">
        <f t="shared" si="3"/>
        <v>0</v>
      </c>
      <c r="W24" s="16">
        <f t="shared" si="1"/>
        <v>2279.19</v>
      </c>
    </row>
    <row r="25" spans="1:23" x14ac:dyDescent="0.25">
      <c r="A25" s="6" t="s">
        <v>132</v>
      </c>
      <c r="B25" s="6" t="s">
        <v>62</v>
      </c>
      <c r="C25" s="6" t="s">
        <v>91</v>
      </c>
      <c r="D25" s="7">
        <v>898.79</v>
      </c>
      <c r="E25" s="7"/>
      <c r="F25" s="7"/>
      <c r="G25" s="7"/>
      <c r="H25" s="7">
        <v>627</v>
      </c>
      <c r="I25" s="7">
        <v>304</v>
      </c>
      <c r="J25" s="22"/>
      <c r="K25" s="7"/>
      <c r="L25" s="16">
        <f t="shared" si="2"/>
        <v>931</v>
      </c>
      <c r="M25" s="16"/>
      <c r="N25" s="7"/>
      <c r="O25" s="7"/>
      <c r="P25" s="7"/>
      <c r="Q25" s="16">
        <f t="shared" si="0"/>
        <v>1829.79</v>
      </c>
      <c r="R25" s="7"/>
      <c r="S25" s="16"/>
      <c r="T25" s="16"/>
      <c r="U25" s="16"/>
      <c r="V25" s="16">
        <f t="shared" si="3"/>
        <v>0</v>
      </c>
      <c r="W25" s="16">
        <f t="shared" si="1"/>
        <v>1829.79</v>
      </c>
    </row>
    <row r="26" spans="1:23" x14ac:dyDescent="0.25">
      <c r="A26" s="5" t="s">
        <v>107</v>
      </c>
      <c r="B26" s="15" t="s">
        <v>71</v>
      </c>
      <c r="C26" s="6" t="s">
        <v>87</v>
      </c>
      <c r="D26" s="16">
        <v>6995.3</v>
      </c>
      <c r="E26" s="7"/>
      <c r="F26" s="7"/>
      <c r="G26" s="7"/>
      <c r="H26" s="7">
        <v>627</v>
      </c>
      <c r="I26" s="7">
        <v>163.4</v>
      </c>
      <c r="J26" s="22">
        <v>484.82</v>
      </c>
      <c r="K26" s="7"/>
      <c r="L26" s="16">
        <f t="shared" si="2"/>
        <v>1275.22</v>
      </c>
      <c r="M26" s="7"/>
      <c r="N26" s="7"/>
      <c r="O26" s="7"/>
      <c r="P26" s="7"/>
      <c r="Q26" s="16">
        <f t="shared" si="0"/>
        <v>8270.52</v>
      </c>
      <c r="R26" s="7">
        <v>878.53</v>
      </c>
      <c r="S26" s="7">
        <v>608.44000000000005</v>
      </c>
      <c r="T26" s="7">
        <v>30.9</v>
      </c>
      <c r="U26" s="7">
        <v>163.4</v>
      </c>
      <c r="V26" s="16">
        <f t="shared" si="3"/>
        <v>1681.2700000000002</v>
      </c>
      <c r="W26" s="16">
        <f t="shared" si="1"/>
        <v>6589.25</v>
      </c>
    </row>
    <row r="27" spans="1:23" x14ac:dyDescent="0.25">
      <c r="A27" s="5" t="s">
        <v>133</v>
      </c>
      <c r="B27" s="6" t="s">
        <v>134</v>
      </c>
      <c r="C27" s="6" t="s">
        <v>91</v>
      </c>
      <c r="D27" s="16">
        <v>9677.56</v>
      </c>
      <c r="E27" s="7"/>
      <c r="F27" s="7"/>
      <c r="G27" s="7"/>
      <c r="H27" s="7">
        <v>627</v>
      </c>
      <c r="I27" s="7">
        <v>163.4</v>
      </c>
      <c r="J27" s="22">
        <f>752.65+(143.55*2)</f>
        <v>1039.75</v>
      </c>
      <c r="K27" s="7"/>
      <c r="L27" s="16">
        <f t="shared" si="2"/>
        <v>1830.15</v>
      </c>
      <c r="M27" s="7"/>
      <c r="N27" s="7"/>
      <c r="O27" s="7"/>
      <c r="P27" s="7"/>
      <c r="Q27" s="16">
        <f t="shared" si="0"/>
        <v>11507.71</v>
      </c>
      <c r="R27" s="7">
        <v>1624.65</v>
      </c>
      <c r="S27" s="7">
        <v>608.44000000000005</v>
      </c>
      <c r="T27" s="7"/>
      <c r="U27" s="7">
        <v>163.4</v>
      </c>
      <c r="V27" s="16">
        <f t="shared" si="3"/>
        <v>2396.4900000000002</v>
      </c>
      <c r="W27" s="16">
        <f t="shared" si="1"/>
        <v>9111.2199999999993</v>
      </c>
    </row>
    <row r="28" spans="1:23" x14ac:dyDescent="0.25">
      <c r="A28" s="5" t="s">
        <v>126</v>
      </c>
      <c r="B28" s="6" t="s">
        <v>62</v>
      </c>
      <c r="C28" s="6" t="s">
        <v>89</v>
      </c>
      <c r="D28" s="16">
        <v>1348.19</v>
      </c>
      <c r="E28" s="7"/>
      <c r="F28" s="7"/>
      <c r="G28" s="7"/>
      <c r="H28" s="7">
        <v>627</v>
      </c>
      <c r="I28" s="7">
        <v>163.4</v>
      </c>
      <c r="J28" s="22"/>
      <c r="K28" s="7"/>
      <c r="L28" s="16">
        <f t="shared" si="2"/>
        <v>790.4</v>
      </c>
      <c r="M28" s="7"/>
      <c r="N28" s="7"/>
      <c r="O28" s="7"/>
      <c r="P28" s="7"/>
      <c r="Q28" s="16">
        <f t="shared" si="0"/>
        <v>2138.59</v>
      </c>
      <c r="R28" s="7"/>
      <c r="S28" s="7"/>
      <c r="T28" s="7"/>
      <c r="U28" s="7"/>
      <c r="V28" s="16">
        <f t="shared" si="3"/>
        <v>0</v>
      </c>
      <c r="W28" s="16">
        <f t="shared" si="1"/>
        <v>2138.59</v>
      </c>
    </row>
    <row r="29" spans="1:23" x14ac:dyDescent="0.25">
      <c r="A29" s="11" t="s">
        <v>35</v>
      </c>
      <c r="B29" s="13" t="s">
        <v>59</v>
      </c>
      <c r="C29" s="6" t="s">
        <v>89</v>
      </c>
      <c r="D29" s="16">
        <v>3623.52</v>
      </c>
      <c r="E29" s="7"/>
      <c r="F29" s="7"/>
      <c r="G29" s="7">
        <f>26.72+4.45</f>
        <v>31.169999999999998</v>
      </c>
      <c r="H29" s="7">
        <v>627</v>
      </c>
      <c r="I29" s="7">
        <v>459.8</v>
      </c>
      <c r="J29" s="22"/>
      <c r="K29" s="7"/>
      <c r="L29" s="16">
        <f t="shared" si="2"/>
        <v>1086.8</v>
      </c>
      <c r="M29" s="7"/>
      <c r="N29" s="7"/>
      <c r="O29" s="7"/>
      <c r="P29" s="7"/>
      <c r="Q29" s="16">
        <f t="shared" si="0"/>
        <v>4741.49</v>
      </c>
      <c r="R29" s="7">
        <v>132.86000000000001</v>
      </c>
      <c r="S29" s="7">
        <v>401.82</v>
      </c>
      <c r="T29" s="7">
        <v>1.81</v>
      </c>
      <c r="U29" s="7">
        <v>137.69</v>
      </c>
      <c r="V29" s="16">
        <f t="shared" si="3"/>
        <v>674.18000000000006</v>
      </c>
      <c r="W29" s="16">
        <f t="shared" si="1"/>
        <v>4067.3099999999995</v>
      </c>
    </row>
    <row r="30" spans="1:23" x14ac:dyDescent="0.25">
      <c r="A30" s="5" t="s">
        <v>36</v>
      </c>
      <c r="B30" s="6" t="s">
        <v>67</v>
      </c>
      <c r="C30" s="6" t="s">
        <v>85</v>
      </c>
      <c r="D30" s="16">
        <v>8287.5</v>
      </c>
      <c r="E30" s="7"/>
      <c r="F30" s="7"/>
      <c r="G30" s="7"/>
      <c r="H30" s="7">
        <v>627</v>
      </c>
      <c r="I30" s="7"/>
      <c r="J30" s="22">
        <f>390.94+(72.53*5)</f>
        <v>753.58999999999992</v>
      </c>
      <c r="K30" s="7"/>
      <c r="L30" s="16">
        <f t="shared" si="2"/>
        <v>1380.59</v>
      </c>
      <c r="M30" s="7"/>
      <c r="N30" s="7"/>
      <c r="O30" s="7"/>
      <c r="P30" s="7"/>
      <c r="Q30" s="16">
        <f t="shared" si="0"/>
        <v>9668.09</v>
      </c>
      <c r="R30" s="7">
        <v>1242.3800000000001</v>
      </c>
      <c r="S30" s="7">
        <v>608.44000000000005</v>
      </c>
      <c r="T30" s="7">
        <v>12.49</v>
      </c>
      <c r="U30" s="7"/>
      <c r="V30" s="16">
        <f t="shared" si="3"/>
        <v>1863.3100000000002</v>
      </c>
      <c r="W30" s="16">
        <f t="shared" si="1"/>
        <v>7804.78</v>
      </c>
    </row>
    <row r="31" spans="1:23" x14ac:dyDescent="0.25">
      <c r="A31" s="11" t="s">
        <v>119</v>
      </c>
      <c r="B31" s="13" t="s">
        <v>62</v>
      </c>
      <c r="C31" s="6" t="s">
        <v>86</v>
      </c>
      <c r="D31" s="16">
        <v>898.79</v>
      </c>
      <c r="E31" s="7"/>
      <c r="F31" s="7"/>
      <c r="G31" s="7"/>
      <c r="H31" s="7">
        <v>627</v>
      </c>
      <c r="I31" s="7">
        <v>136.80000000000001</v>
      </c>
      <c r="J31" s="22"/>
      <c r="K31" s="7"/>
      <c r="L31" s="16">
        <f t="shared" si="2"/>
        <v>763.8</v>
      </c>
      <c r="M31" s="7"/>
      <c r="N31" s="7"/>
      <c r="O31" s="7"/>
      <c r="P31" s="7"/>
      <c r="Q31" s="16">
        <f>D31</f>
        <v>898.79</v>
      </c>
      <c r="R31" s="7"/>
      <c r="S31" s="7"/>
      <c r="T31" s="7"/>
      <c r="U31" s="7"/>
      <c r="V31" s="16">
        <f t="shared" si="3"/>
        <v>0</v>
      </c>
      <c r="W31" s="16">
        <f t="shared" si="1"/>
        <v>898.79</v>
      </c>
    </row>
    <row r="32" spans="1:23" x14ac:dyDescent="0.25">
      <c r="A32" s="11" t="s">
        <v>120</v>
      </c>
      <c r="B32" s="13" t="s">
        <v>74</v>
      </c>
      <c r="C32" s="6" t="s">
        <v>84</v>
      </c>
      <c r="D32" s="16">
        <v>12709.66</v>
      </c>
      <c r="E32" s="7"/>
      <c r="F32" s="7"/>
      <c r="G32" s="7"/>
      <c r="H32" s="7">
        <v>627</v>
      </c>
      <c r="I32" s="7">
        <v>163.4</v>
      </c>
      <c r="J32" s="22"/>
      <c r="K32" s="7"/>
      <c r="L32" s="16">
        <f t="shared" si="2"/>
        <v>790.4</v>
      </c>
      <c r="M32" s="7"/>
      <c r="N32" s="7"/>
      <c r="O32" s="7"/>
      <c r="P32" s="7"/>
      <c r="Q32" s="16">
        <f>D32+E32+F32+G32+J32+K32+L32+M32+N32+P32</f>
        <v>13500.06</v>
      </c>
      <c r="R32" s="7">
        <v>2458.48</v>
      </c>
      <c r="S32" s="7">
        <v>608.44000000000005</v>
      </c>
      <c r="T32" s="7"/>
      <c r="U32" s="7">
        <v>163.4</v>
      </c>
      <c r="V32" s="16">
        <f t="shared" si="3"/>
        <v>3230.32</v>
      </c>
      <c r="W32" s="16">
        <f t="shared" si="1"/>
        <v>10269.74</v>
      </c>
    </row>
    <row r="33" spans="1:23" x14ac:dyDescent="0.25">
      <c r="A33" s="6" t="s">
        <v>38</v>
      </c>
      <c r="B33" s="6" t="s">
        <v>59</v>
      </c>
      <c r="C33" s="6" t="s">
        <v>89</v>
      </c>
      <c r="D33" s="16">
        <v>1207.8399999999999</v>
      </c>
      <c r="E33" s="7">
        <f>4.53+16.46+2415.68+54.36+0.76+11.8</f>
        <v>2503.59</v>
      </c>
      <c r="F33" s="7"/>
      <c r="G33" s="7">
        <f>29.44+4.91</f>
        <v>34.35</v>
      </c>
      <c r="H33" s="7">
        <v>165</v>
      </c>
      <c r="I33" s="7">
        <v>121</v>
      </c>
      <c r="J33" s="22"/>
      <c r="K33" s="7"/>
      <c r="L33" s="16">
        <f t="shared" si="2"/>
        <v>286</v>
      </c>
      <c r="M33" s="7">
        <v>834.53</v>
      </c>
      <c r="N33" s="7"/>
      <c r="O33" s="7"/>
      <c r="P33" s="7"/>
      <c r="Q33" s="16">
        <f t="shared" ref="Q33:Q51" si="4">D33+E33+F33+G33+L33+M33+N33+P33</f>
        <v>4866.3100000000004</v>
      </c>
      <c r="R33" s="7">
        <v>90.84</v>
      </c>
      <c r="S33" s="7">
        <f>121.8+367.19</f>
        <v>488.99</v>
      </c>
      <c r="T33" s="7">
        <f>120.78+12.49+14.19</f>
        <v>147.46</v>
      </c>
      <c r="U33" s="7">
        <v>36.24</v>
      </c>
      <c r="V33" s="16">
        <f t="shared" si="3"/>
        <v>763.53000000000009</v>
      </c>
      <c r="W33" s="16">
        <f t="shared" si="1"/>
        <v>4102.7800000000007</v>
      </c>
    </row>
    <row r="34" spans="1:23" x14ac:dyDescent="0.25">
      <c r="A34" s="6" t="s">
        <v>39</v>
      </c>
      <c r="B34" s="6" t="s">
        <v>72</v>
      </c>
      <c r="C34" s="6" t="s">
        <v>86</v>
      </c>
      <c r="D34" s="16">
        <v>12709.66</v>
      </c>
      <c r="E34" s="7"/>
      <c r="F34" s="7"/>
      <c r="G34" s="7"/>
      <c r="H34" s="7">
        <v>627</v>
      </c>
      <c r="I34" s="7">
        <v>1094.5899999999999</v>
      </c>
      <c r="J34" s="22"/>
      <c r="K34" s="7"/>
      <c r="L34" s="16">
        <f t="shared" si="2"/>
        <v>1721.59</v>
      </c>
      <c r="M34" s="7"/>
      <c r="N34" s="7"/>
      <c r="O34" s="7"/>
      <c r="P34" s="7"/>
      <c r="Q34" s="16">
        <f t="shared" si="4"/>
        <v>14431.25</v>
      </c>
      <c r="R34" s="7">
        <v>2458.48</v>
      </c>
      <c r="S34" s="7">
        <v>608.44000000000005</v>
      </c>
      <c r="T34" s="7"/>
      <c r="U34" s="7">
        <v>482.97</v>
      </c>
      <c r="V34" s="16">
        <f t="shared" si="3"/>
        <v>3549.8900000000003</v>
      </c>
      <c r="W34" s="16">
        <f t="shared" si="1"/>
        <v>10881.36</v>
      </c>
    </row>
    <row r="35" spans="1:23" x14ac:dyDescent="0.25">
      <c r="A35" s="6" t="s">
        <v>40</v>
      </c>
      <c r="B35" s="6" t="s">
        <v>73</v>
      </c>
      <c r="C35" s="6" t="s">
        <v>83</v>
      </c>
      <c r="D35" s="16">
        <v>3623.52</v>
      </c>
      <c r="E35" s="7"/>
      <c r="F35" s="7"/>
      <c r="G35" s="7"/>
      <c r="H35" s="7">
        <v>627</v>
      </c>
      <c r="I35" s="7">
        <v>323</v>
      </c>
      <c r="J35" s="22">
        <f>431.32+(80.03*2)</f>
        <v>591.38</v>
      </c>
      <c r="K35" s="7"/>
      <c r="L35" s="16">
        <f t="shared" si="2"/>
        <v>1541.38</v>
      </c>
      <c r="M35" s="7"/>
      <c r="N35" s="7"/>
      <c r="O35" s="7"/>
      <c r="P35" s="7"/>
      <c r="Q35" s="16">
        <f t="shared" si="4"/>
        <v>5164.8999999999996</v>
      </c>
      <c r="R35" s="7">
        <v>123.14</v>
      </c>
      <c r="S35" s="7">
        <v>393.8</v>
      </c>
      <c r="T35" s="7">
        <v>43.48</v>
      </c>
      <c r="U35" s="7">
        <v>137.69</v>
      </c>
      <c r="V35" s="16">
        <f t="shared" si="3"/>
        <v>698.11000000000013</v>
      </c>
      <c r="W35" s="16">
        <f t="shared" si="1"/>
        <v>4466.7899999999991</v>
      </c>
    </row>
    <row r="36" spans="1:23" x14ac:dyDescent="0.25">
      <c r="A36" s="6" t="s">
        <v>41</v>
      </c>
      <c r="B36" s="6" t="s">
        <v>82</v>
      </c>
      <c r="C36" s="6" t="s">
        <v>82</v>
      </c>
      <c r="D36" s="16">
        <v>9677.56</v>
      </c>
      <c r="E36" s="7"/>
      <c r="F36" s="7"/>
      <c r="G36" s="7"/>
      <c r="H36" s="7">
        <v>627</v>
      </c>
      <c r="I36" s="7">
        <v>163.4</v>
      </c>
      <c r="J36" s="16">
        <f>1517.67+82.98+(281.58*3)</f>
        <v>2445.3900000000003</v>
      </c>
      <c r="K36" s="7"/>
      <c r="L36" s="16">
        <f t="shared" si="2"/>
        <v>3235.7900000000004</v>
      </c>
      <c r="M36" s="7"/>
      <c r="N36" s="7"/>
      <c r="O36" s="7"/>
      <c r="P36" s="7"/>
      <c r="Q36" s="16">
        <f t="shared" si="4"/>
        <v>12913.35</v>
      </c>
      <c r="R36" s="7">
        <v>1624.65</v>
      </c>
      <c r="S36" s="7">
        <v>608.44000000000005</v>
      </c>
      <c r="T36" s="7"/>
      <c r="U36" s="7">
        <v>163.4</v>
      </c>
      <c r="V36" s="16">
        <f t="shared" si="3"/>
        <v>2396.4900000000002</v>
      </c>
      <c r="W36" s="16">
        <f t="shared" si="1"/>
        <v>10516.86</v>
      </c>
    </row>
    <row r="37" spans="1:23" x14ac:dyDescent="0.25">
      <c r="A37" s="5" t="s">
        <v>106</v>
      </c>
      <c r="B37" s="6" t="s">
        <v>62</v>
      </c>
      <c r="C37" s="6" t="s">
        <v>91</v>
      </c>
      <c r="D37" s="16">
        <v>1348.19</v>
      </c>
      <c r="E37" s="7"/>
      <c r="F37" s="7"/>
      <c r="G37" s="7"/>
      <c r="H37" s="7">
        <v>165</v>
      </c>
      <c r="I37" s="7">
        <v>36</v>
      </c>
      <c r="J37" s="22"/>
      <c r="K37" s="7"/>
      <c r="L37" s="16">
        <f t="shared" si="2"/>
        <v>201</v>
      </c>
      <c r="M37" s="7"/>
      <c r="N37" s="7"/>
      <c r="O37" s="7"/>
      <c r="P37" s="7"/>
      <c r="Q37" s="16">
        <f t="shared" si="4"/>
        <v>1549.19</v>
      </c>
      <c r="R37" s="7"/>
      <c r="S37" s="7"/>
      <c r="T37" s="7"/>
      <c r="U37" s="7"/>
      <c r="V37" s="16">
        <f t="shared" si="3"/>
        <v>0</v>
      </c>
      <c r="W37" s="16">
        <f t="shared" ref="W37:W54" si="5">Q37-V37</f>
        <v>1549.19</v>
      </c>
    </row>
    <row r="38" spans="1:23" x14ac:dyDescent="0.25">
      <c r="A38" s="6" t="s">
        <v>43</v>
      </c>
      <c r="B38" s="6" t="s">
        <v>76</v>
      </c>
      <c r="C38" s="6" t="s">
        <v>91</v>
      </c>
      <c r="D38" s="16">
        <v>6995.3</v>
      </c>
      <c r="E38" s="7"/>
      <c r="F38" s="7"/>
      <c r="G38" s="7">
        <f>1224.18+19.82+288.56+252.12</f>
        <v>1784.6799999999998</v>
      </c>
      <c r="H38" s="7">
        <v>627</v>
      </c>
      <c r="I38" s="7">
        <v>163.4</v>
      </c>
      <c r="J38" s="22"/>
      <c r="K38" s="7"/>
      <c r="L38" s="16">
        <f t="shared" si="2"/>
        <v>790.4</v>
      </c>
      <c r="M38" s="7"/>
      <c r="N38" s="7"/>
      <c r="O38" s="7"/>
      <c r="P38" s="7"/>
      <c r="Q38" s="16">
        <f t="shared" si="4"/>
        <v>9570.3799999999992</v>
      </c>
      <c r="R38" s="7">
        <v>1327.8</v>
      </c>
      <c r="S38" s="7">
        <f>608.44+8.22</f>
        <v>616.66000000000008</v>
      </c>
      <c r="T38" s="7">
        <v>181.88</v>
      </c>
      <c r="U38" s="7">
        <v>163.4</v>
      </c>
      <c r="V38" s="16">
        <f t="shared" si="3"/>
        <v>2289.7400000000002</v>
      </c>
      <c r="W38" s="16">
        <f t="shared" si="5"/>
        <v>7280.6399999999994</v>
      </c>
    </row>
    <row r="39" spans="1:23" x14ac:dyDescent="0.25">
      <c r="A39" s="6" t="s">
        <v>44</v>
      </c>
      <c r="B39" s="6" t="s">
        <v>70</v>
      </c>
      <c r="C39" s="6" t="s">
        <v>90</v>
      </c>
      <c r="D39" s="16">
        <v>3623.52</v>
      </c>
      <c r="E39" s="7"/>
      <c r="F39" s="7"/>
      <c r="G39" s="7"/>
      <c r="H39" s="7">
        <v>627</v>
      </c>
      <c r="I39" s="7">
        <v>300.2</v>
      </c>
      <c r="J39" s="22">
        <f>440.74+(16.57*5)</f>
        <v>523.59</v>
      </c>
      <c r="K39" s="7"/>
      <c r="L39" s="16">
        <f t="shared" si="2"/>
        <v>1450.79</v>
      </c>
      <c r="M39" s="7"/>
      <c r="N39" s="7"/>
      <c r="O39" s="7"/>
      <c r="P39" s="7"/>
      <c r="Q39" s="16">
        <f t="shared" si="4"/>
        <v>5074.3099999999995</v>
      </c>
      <c r="R39" s="7">
        <v>128.94</v>
      </c>
      <c r="S39" s="7">
        <v>398.59</v>
      </c>
      <c r="T39" s="7">
        <v>12.49</v>
      </c>
      <c r="U39" s="7">
        <v>137.69</v>
      </c>
      <c r="V39" s="16">
        <f t="shared" si="3"/>
        <v>677.71</v>
      </c>
      <c r="W39" s="16">
        <f t="shared" si="5"/>
        <v>4396.5999999999995</v>
      </c>
    </row>
    <row r="40" spans="1:23" x14ac:dyDescent="0.25">
      <c r="A40" s="5" t="s">
        <v>45</v>
      </c>
      <c r="B40" s="6" t="s">
        <v>58</v>
      </c>
      <c r="C40" s="6" t="s">
        <v>81</v>
      </c>
      <c r="D40" s="16">
        <v>3623.52</v>
      </c>
      <c r="E40" s="7"/>
      <c r="F40" s="7"/>
      <c r="G40" s="7"/>
      <c r="H40" s="7">
        <v>627</v>
      </c>
      <c r="I40" s="7">
        <v>338.2</v>
      </c>
      <c r="J40" s="22">
        <v>386.21</v>
      </c>
      <c r="K40" s="7"/>
      <c r="L40" s="16">
        <f t="shared" si="2"/>
        <v>1351.41</v>
      </c>
      <c r="M40" s="10"/>
      <c r="N40" s="7"/>
      <c r="O40" s="7"/>
      <c r="P40" s="7"/>
      <c r="Q40" s="16">
        <f t="shared" si="4"/>
        <v>4974.93</v>
      </c>
      <c r="R40" s="7">
        <v>114.55</v>
      </c>
      <c r="S40" s="7">
        <v>386.73</v>
      </c>
      <c r="T40" s="7">
        <f>36.24+107.8</f>
        <v>144.04</v>
      </c>
      <c r="U40" s="7">
        <v>137.69</v>
      </c>
      <c r="V40" s="16">
        <f t="shared" si="3"/>
        <v>783.01</v>
      </c>
      <c r="W40" s="16">
        <f t="shared" si="5"/>
        <v>4191.92</v>
      </c>
    </row>
    <row r="41" spans="1:23" x14ac:dyDescent="0.25">
      <c r="A41" s="6" t="s">
        <v>46</v>
      </c>
      <c r="B41" s="6" t="s">
        <v>58</v>
      </c>
      <c r="C41" s="6" t="s">
        <v>81</v>
      </c>
      <c r="D41" s="16">
        <v>3623.52</v>
      </c>
      <c r="E41" s="7"/>
      <c r="F41" s="7"/>
      <c r="G41" s="7"/>
      <c r="H41" s="7">
        <v>627</v>
      </c>
      <c r="I41" s="7">
        <v>163.4</v>
      </c>
      <c r="J41" s="22">
        <f>319.54+(1.13*5)</f>
        <v>325.19</v>
      </c>
      <c r="K41" s="7"/>
      <c r="L41" s="16">
        <f t="shared" si="2"/>
        <v>1115.5899999999999</v>
      </c>
      <c r="M41" s="7"/>
      <c r="N41" s="7"/>
      <c r="O41" s="7"/>
      <c r="P41" s="7">
        <v>1680.7</v>
      </c>
      <c r="Q41" s="16">
        <f t="shared" si="4"/>
        <v>6419.8099999999995</v>
      </c>
      <c r="R41" s="7">
        <v>428.85</v>
      </c>
      <c r="S41" s="7">
        <v>583.46</v>
      </c>
      <c r="T41" s="7">
        <f>36.24+12.49</f>
        <v>48.730000000000004</v>
      </c>
      <c r="U41" s="7">
        <v>137.69</v>
      </c>
      <c r="V41" s="16">
        <f t="shared" si="3"/>
        <v>1198.73</v>
      </c>
      <c r="W41" s="16">
        <f t="shared" si="5"/>
        <v>5221.08</v>
      </c>
    </row>
    <row r="42" spans="1:23" x14ac:dyDescent="0.25">
      <c r="A42" s="5" t="s">
        <v>104</v>
      </c>
      <c r="B42" s="6" t="s">
        <v>59</v>
      </c>
      <c r="C42" s="6" t="s">
        <v>89</v>
      </c>
      <c r="D42" s="16">
        <v>3623.52</v>
      </c>
      <c r="E42" s="7"/>
      <c r="F42" s="7"/>
      <c r="G42" s="7"/>
      <c r="H42" s="7">
        <v>627</v>
      </c>
      <c r="I42" s="7">
        <v>372.4</v>
      </c>
      <c r="J42" s="22">
        <f>419.03+(46.71*4)</f>
        <v>605.87</v>
      </c>
      <c r="K42" s="7"/>
      <c r="L42" s="16">
        <f t="shared" si="2"/>
        <v>1605.27</v>
      </c>
      <c r="M42" s="7"/>
      <c r="N42" s="7"/>
      <c r="O42" s="7"/>
      <c r="P42" s="7"/>
      <c r="Q42" s="16">
        <f t="shared" si="4"/>
        <v>5228.79</v>
      </c>
      <c r="R42" s="7">
        <v>128.94</v>
      </c>
      <c r="S42" s="7">
        <v>398.59</v>
      </c>
      <c r="T42" s="7">
        <v>12.49</v>
      </c>
      <c r="U42" s="7">
        <v>137.69</v>
      </c>
      <c r="V42" s="16">
        <f t="shared" si="3"/>
        <v>677.71</v>
      </c>
      <c r="W42" s="16">
        <f t="shared" si="5"/>
        <v>4551.08</v>
      </c>
    </row>
    <row r="43" spans="1:23" x14ac:dyDescent="0.25">
      <c r="A43" s="6" t="s">
        <v>112</v>
      </c>
      <c r="B43" s="6" t="s">
        <v>66</v>
      </c>
      <c r="C43" s="6" t="s">
        <v>86</v>
      </c>
      <c r="D43" s="16">
        <v>8287.5</v>
      </c>
      <c r="E43" s="7"/>
      <c r="F43" s="7"/>
      <c r="G43" s="7"/>
      <c r="H43" s="7">
        <v>627</v>
      </c>
      <c r="I43" s="7">
        <v>372.4</v>
      </c>
      <c r="J43" s="26">
        <f>429.85+(80.03*2)+(25.83*3)</f>
        <v>667.40000000000009</v>
      </c>
      <c r="K43" s="7">
        <v>260</v>
      </c>
      <c r="L43" s="16">
        <f t="shared" si="2"/>
        <v>1926.8000000000002</v>
      </c>
      <c r="M43" s="7"/>
      <c r="N43" s="7"/>
      <c r="O43" s="7"/>
      <c r="P43" s="7"/>
      <c r="Q43" s="16">
        <f t="shared" si="4"/>
        <v>10214.299999999999</v>
      </c>
      <c r="R43" s="7">
        <v>1067.17</v>
      </c>
      <c r="S43" s="7">
        <v>608.44000000000005</v>
      </c>
      <c r="T43" s="7">
        <f>276.25+171.28</f>
        <v>447.53</v>
      </c>
      <c r="U43" s="7">
        <v>314.93</v>
      </c>
      <c r="V43" s="16">
        <f t="shared" si="3"/>
        <v>2438.0700000000002</v>
      </c>
      <c r="W43" s="16">
        <f t="shared" si="5"/>
        <v>7776.23</v>
      </c>
    </row>
    <row r="44" spans="1:23" x14ac:dyDescent="0.25">
      <c r="A44" s="5" t="s">
        <v>47</v>
      </c>
      <c r="B44" s="6" t="s">
        <v>66</v>
      </c>
      <c r="C44" s="6" t="s">
        <v>86</v>
      </c>
      <c r="D44" s="16">
        <v>8287.5</v>
      </c>
      <c r="E44" s="7"/>
      <c r="F44" s="7"/>
      <c r="G44" s="7">
        <f>289.03+48.17</f>
        <v>337.2</v>
      </c>
      <c r="H44" s="7">
        <v>627</v>
      </c>
      <c r="I44" s="7"/>
      <c r="J44" s="26">
        <f>431.32+(80.03*4)+41.76</f>
        <v>793.2</v>
      </c>
      <c r="K44" s="7"/>
      <c r="L44" s="16">
        <f t="shared" si="2"/>
        <v>1420.2</v>
      </c>
      <c r="M44" s="7"/>
      <c r="N44" s="7"/>
      <c r="O44" s="7"/>
      <c r="P44" s="7"/>
      <c r="Q44" s="16">
        <f t="shared" si="4"/>
        <v>10044.900000000001</v>
      </c>
      <c r="R44" s="7">
        <v>1332.26</v>
      </c>
      <c r="S44" s="7">
        <v>608.44000000000005</v>
      </c>
      <c r="T44" s="7">
        <v>10.36</v>
      </c>
      <c r="U44" s="7"/>
      <c r="V44" s="16">
        <f t="shared" si="3"/>
        <v>1951.06</v>
      </c>
      <c r="W44" s="16">
        <f t="shared" si="5"/>
        <v>8093.840000000002</v>
      </c>
    </row>
    <row r="45" spans="1:23" x14ac:dyDescent="0.25">
      <c r="A45" s="5" t="s">
        <v>48</v>
      </c>
      <c r="B45" s="6" t="s">
        <v>66</v>
      </c>
      <c r="C45" s="6" t="s">
        <v>85</v>
      </c>
      <c r="D45" s="16">
        <v>8287.5</v>
      </c>
      <c r="E45" s="7"/>
      <c r="F45" s="7"/>
      <c r="G45" s="7">
        <f>60.08+10.01</f>
        <v>70.09</v>
      </c>
      <c r="H45" s="7">
        <f>363+264</f>
        <v>627</v>
      </c>
      <c r="I45" s="7"/>
      <c r="J45" s="22">
        <f>358.05+(39.64*4)</f>
        <v>516.61</v>
      </c>
      <c r="K45" s="7"/>
      <c r="L45" s="16">
        <f t="shared" si="2"/>
        <v>1143.6100000000001</v>
      </c>
      <c r="M45" s="7"/>
      <c r="N45" s="7">
        <v>74.59</v>
      </c>
      <c r="O45" s="7"/>
      <c r="P45" s="7">
        <v>2800.7</v>
      </c>
      <c r="Q45" s="16">
        <f t="shared" si="4"/>
        <v>12376.490000000002</v>
      </c>
      <c r="R45" s="7">
        <v>2049.6999999999998</v>
      </c>
      <c r="S45" s="7">
        <v>608.44000000000005</v>
      </c>
      <c r="T45" s="7">
        <f>12.49+9.67</f>
        <v>22.16</v>
      </c>
      <c r="U45" s="7"/>
      <c r="V45" s="16">
        <f t="shared" si="3"/>
        <v>2680.2999999999997</v>
      </c>
      <c r="W45" s="16">
        <f t="shared" si="5"/>
        <v>9696.1900000000023</v>
      </c>
    </row>
    <row r="46" spans="1:23" x14ac:dyDescent="0.25">
      <c r="A46" s="5" t="s">
        <v>49</v>
      </c>
      <c r="B46" s="6" t="s">
        <v>58</v>
      </c>
      <c r="C46" s="6" t="s">
        <v>81</v>
      </c>
      <c r="D46" s="16">
        <v>3623.52</v>
      </c>
      <c r="E46" s="7"/>
      <c r="F46" s="7"/>
      <c r="G46" s="7">
        <f>111.42+18.57</f>
        <v>129.99</v>
      </c>
      <c r="H46" s="7">
        <v>627</v>
      </c>
      <c r="I46" s="7">
        <v>459.8</v>
      </c>
      <c r="J46" s="22">
        <v>507.75</v>
      </c>
      <c r="K46" s="7"/>
      <c r="L46" s="16">
        <f t="shared" si="2"/>
        <v>1594.55</v>
      </c>
      <c r="M46" s="7"/>
      <c r="N46" s="7"/>
      <c r="O46" s="7"/>
      <c r="P46" s="7"/>
      <c r="Q46" s="16">
        <f t="shared" si="4"/>
        <v>5348.06</v>
      </c>
      <c r="R46" s="7">
        <v>89.42</v>
      </c>
      <c r="S46" s="7">
        <v>412.89</v>
      </c>
      <c r="T46" s="7">
        <f>36.24+37.47</f>
        <v>73.710000000000008</v>
      </c>
      <c r="U46" s="7">
        <v>137.69</v>
      </c>
      <c r="V46" s="16">
        <f t="shared" si="3"/>
        <v>713.71</v>
      </c>
      <c r="W46" s="16">
        <f t="shared" si="5"/>
        <v>4634.3500000000004</v>
      </c>
    </row>
    <row r="47" spans="1:23" x14ac:dyDescent="0.25">
      <c r="A47" s="5" t="s">
        <v>50</v>
      </c>
      <c r="B47" s="6" t="s">
        <v>122</v>
      </c>
      <c r="C47" s="6" t="s">
        <v>85</v>
      </c>
      <c r="D47" s="16">
        <v>8287.5</v>
      </c>
      <c r="E47" s="7"/>
      <c r="F47" s="7"/>
      <c r="G47" s="7"/>
      <c r="H47" s="7">
        <v>627</v>
      </c>
      <c r="I47" s="7">
        <v>163.4</v>
      </c>
      <c r="J47" s="22"/>
      <c r="K47" s="7"/>
      <c r="L47" s="16">
        <f t="shared" si="2"/>
        <v>790.4</v>
      </c>
      <c r="M47" s="7"/>
      <c r="N47" s="7"/>
      <c r="O47" s="7"/>
      <c r="P47" s="7">
        <v>4422.16</v>
      </c>
      <c r="Q47" s="16">
        <f t="shared" si="4"/>
        <v>13500.06</v>
      </c>
      <c r="R47" s="7">
        <v>2458.48</v>
      </c>
      <c r="S47" s="7">
        <v>608.44000000000005</v>
      </c>
      <c r="T47" s="7"/>
      <c r="U47" s="7">
        <v>163.4</v>
      </c>
      <c r="V47" s="16">
        <f t="shared" si="3"/>
        <v>3230.32</v>
      </c>
      <c r="W47" s="16">
        <f t="shared" si="5"/>
        <v>10269.74</v>
      </c>
    </row>
    <row r="48" spans="1:23" x14ac:dyDescent="0.25">
      <c r="A48" s="5" t="s">
        <v>51</v>
      </c>
      <c r="B48" s="6" t="s">
        <v>77</v>
      </c>
      <c r="C48" s="6" t="s">
        <v>83</v>
      </c>
      <c r="D48" s="16">
        <v>6995.3</v>
      </c>
      <c r="E48" s="7"/>
      <c r="F48" s="7"/>
      <c r="G48" s="7"/>
      <c r="H48" s="7">
        <v>627</v>
      </c>
      <c r="I48" s="7">
        <v>136.80000000000001</v>
      </c>
      <c r="J48" s="26">
        <f>431.32+(80.03*5)</f>
        <v>831.47</v>
      </c>
      <c r="K48" s="7"/>
      <c r="L48" s="16">
        <f t="shared" si="2"/>
        <v>1595.27</v>
      </c>
      <c r="M48" s="7"/>
      <c r="N48" s="7"/>
      <c r="O48" s="7"/>
      <c r="P48" s="7">
        <v>2857.18</v>
      </c>
      <c r="Q48" s="16">
        <f t="shared" si="4"/>
        <v>11447.75</v>
      </c>
      <c r="R48" s="7">
        <v>1649.02</v>
      </c>
      <c r="S48" s="7">
        <v>608.44000000000005</v>
      </c>
      <c r="T48" s="7">
        <v>86.28</v>
      </c>
      <c r="U48" s="7">
        <v>136.80000000000001</v>
      </c>
      <c r="V48" s="16">
        <f t="shared" si="3"/>
        <v>2480.5400000000004</v>
      </c>
      <c r="W48" s="16">
        <f t="shared" si="5"/>
        <v>8967.2099999999991</v>
      </c>
    </row>
    <row r="49" spans="1:23" x14ac:dyDescent="0.25">
      <c r="A49" s="6" t="s">
        <v>53</v>
      </c>
      <c r="B49" s="6" t="s">
        <v>73</v>
      </c>
      <c r="C49" s="6" t="s">
        <v>83</v>
      </c>
      <c r="D49" s="16">
        <v>3623.52</v>
      </c>
      <c r="E49" s="7"/>
      <c r="F49" s="7"/>
      <c r="G49" s="7"/>
      <c r="H49" s="7">
        <v>627</v>
      </c>
      <c r="I49" s="7">
        <v>545.29999999999995</v>
      </c>
      <c r="J49" s="22">
        <f>457.13+56.22+(84.81*4)</f>
        <v>852.59</v>
      </c>
      <c r="K49" s="7"/>
      <c r="L49" s="16">
        <f t="shared" si="2"/>
        <v>2024.8899999999999</v>
      </c>
      <c r="M49" s="7"/>
      <c r="N49" s="7"/>
      <c r="O49" s="7"/>
      <c r="P49" s="7"/>
      <c r="Q49" s="16">
        <f t="shared" si="4"/>
        <v>5648.41</v>
      </c>
      <c r="R49" s="7">
        <v>127.65</v>
      </c>
      <c r="S49" s="7">
        <v>397.52</v>
      </c>
      <c r="T49" s="7">
        <f>36.24+9.66</f>
        <v>45.900000000000006</v>
      </c>
      <c r="U49" s="7">
        <v>137.69</v>
      </c>
      <c r="V49" s="16">
        <f t="shared" si="3"/>
        <v>708.76</v>
      </c>
      <c r="W49" s="16">
        <f t="shared" si="5"/>
        <v>4939.6499999999996</v>
      </c>
    </row>
    <row r="50" spans="1:23" x14ac:dyDescent="0.25">
      <c r="A50" s="6" t="s">
        <v>54</v>
      </c>
      <c r="B50" s="6" t="s">
        <v>79</v>
      </c>
      <c r="C50" s="6" t="s">
        <v>87</v>
      </c>
      <c r="D50" s="16">
        <v>6995.3</v>
      </c>
      <c r="E50" s="7"/>
      <c r="F50" s="7"/>
      <c r="G50" s="7"/>
      <c r="H50" s="7">
        <v>627</v>
      </c>
      <c r="I50" s="7">
        <v>163.4</v>
      </c>
      <c r="J50" s="22">
        <v>363.11</v>
      </c>
      <c r="K50" s="7"/>
      <c r="L50" s="16">
        <f t="shared" si="2"/>
        <v>1153.51</v>
      </c>
      <c r="M50" s="7"/>
      <c r="N50" s="7"/>
      <c r="O50" s="7"/>
      <c r="P50" s="7"/>
      <c r="Q50" s="16">
        <f t="shared" si="4"/>
        <v>8148.81</v>
      </c>
      <c r="R50" s="7">
        <v>887.03</v>
      </c>
      <c r="S50" s="7">
        <v>608.44000000000005</v>
      </c>
      <c r="T50" s="7"/>
      <c r="U50" s="7">
        <v>163.4</v>
      </c>
      <c r="V50" s="16">
        <f t="shared" si="3"/>
        <v>1658.8700000000001</v>
      </c>
      <c r="W50" s="16">
        <f t="shared" si="5"/>
        <v>6489.9400000000005</v>
      </c>
    </row>
    <row r="51" spans="1:23" x14ac:dyDescent="0.25">
      <c r="A51" s="5" t="s">
        <v>111</v>
      </c>
      <c r="B51" s="6" t="s">
        <v>62</v>
      </c>
      <c r="C51" s="6" t="s">
        <v>85</v>
      </c>
      <c r="D51" s="16">
        <v>1348.19</v>
      </c>
      <c r="E51" s="7"/>
      <c r="F51" s="7"/>
      <c r="G51" s="7"/>
      <c r="H51" s="7">
        <v>627</v>
      </c>
      <c r="I51" s="7">
        <v>304</v>
      </c>
      <c r="J51" s="22"/>
      <c r="K51" s="7"/>
      <c r="L51" s="16">
        <f t="shared" si="2"/>
        <v>931</v>
      </c>
      <c r="M51" s="7"/>
      <c r="N51" s="7"/>
      <c r="O51" s="7"/>
      <c r="P51" s="7"/>
      <c r="Q51" s="16">
        <f t="shared" si="4"/>
        <v>2279.19</v>
      </c>
      <c r="R51" s="7"/>
      <c r="S51" s="7"/>
      <c r="T51" s="7"/>
      <c r="U51" s="7"/>
      <c r="V51" s="16">
        <f t="shared" si="3"/>
        <v>0</v>
      </c>
      <c r="W51" s="16">
        <f t="shared" si="5"/>
        <v>2279.19</v>
      </c>
    </row>
    <row r="52" spans="1:23" x14ac:dyDescent="0.25">
      <c r="A52" s="5" t="s">
        <v>55</v>
      </c>
      <c r="B52" s="6" t="s">
        <v>58</v>
      </c>
      <c r="C52" s="6" t="s">
        <v>85</v>
      </c>
      <c r="D52" s="16">
        <v>1932.54</v>
      </c>
      <c r="E52" s="7">
        <f>1690.98+5.17+0.86</f>
        <v>1697.01</v>
      </c>
      <c r="F52" s="7"/>
      <c r="G52" s="7"/>
      <c r="H52" s="7">
        <v>330</v>
      </c>
      <c r="I52" s="7">
        <v>349</v>
      </c>
      <c r="J52" s="22">
        <f>417.19+(65.89*4)</f>
        <v>680.75</v>
      </c>
      <c r="K52" s="7"/>
      <c r="L52" s="16">
        <f t="shared" si="2"/>
        <v>1359.75</v>
      </c>
      <c r="M52" s="7">
        <v>565.66999999999996</v>
      </c>
      <c r="N52" s="7"/>
      <c r="O52" s="7">
        <v>500</v>
      </c>
      <c r="P52" s="7"/>
      <c r="Q52" s="16">
        <f>D52+E52+F52+G52+L52+M52+N52+P52+O52</f>
        <v>6054.97</v>
      </c>
      <c r="R52" s="7">
        <v>11.63</v>
      </c>
      <c r="S52" s="7">
        <f>202.83+203.64</f>
        <v>406.47</v>
      </c>
      <c r="T52" s="7">
        <f>19.33+12.49</f>
        <v>31.82</v>
      </c>
      <c r="U52" s="7">
        <v>72.47</v>
      </c>
      <c r="V52" s="16">
        <f t="shared" si="3"/>
        <v>522.39</v>
      </c>
      <c r="W52" s="16">
        <f t="shared" si="5"/>
        <v>5532.58</v>
      </c>
    </row>
    <row r="53" spans="1:23" x14ac:dyDescent="0.25">
      <c r="A53" s="6" t="s">
        <v>56</v>
      </c>
      <c r="B53" s="6" t="s">
        <v>121</v>
      </c>
      <c r="C53" s="6" t="s">
        <v>89</v>
      </c>
      <c r="D53" s="16">
        <v>6995.3</v>
      </c>
      <c r="E53" s="7"/>
      <c r="F53" s="7"/>
      <c r="G53" s="7"/>
      <c r="H53" s="7">
        <v>627</v>
      </c>
      <c r="I53" s="7"/>
      <c r="J53" s="22"/>
      <c r="K53" s="7"/>
      <c r="L53" s="16">
        <f t="shared" si="2"/>
        <v>627</v>
      </c>
      <c r="M53" s="7"/>
      <c r="N53" s="7"/>
      <c r="O53" s="7"/>
      <c r="P53" s="7">
        <v>5714.36</v>
      </c>
      <c r="Q53" s="16">
        <f>D53+E53+F53+G53+L53+M53+N53+P53</f>
        <v>13336.66</v>
      </c>
      <c r="R53" s="7">
        <v>2458.48</v>
      </c>
      <c r="S53" s="7">
        <v>608.44000000000005</v>
      </c>
      <c r="T53" s="7"/>
      <c r="U53" s="7"/>
      <c r="V53" s="16">
        <f t="shared" si="3"/>
        <v>3066.92</v>
      </c>
      <c r="W53" s="16">
        <f t="shared" si="5"/>
        <v>10269.74</v>
      </c>
    </row>
    <row r="54" spans="1:23" x14ac:dyDescent="0.25">
      <c r="A54" s="5" t="s">
        <v>127</v>
      </c>
      <c r="B54" s="6" t="s">
        <v>62</v>
      </c>
      <c r="C54" s="6" t="s">
        <v>87</v>
      </c>
      <c r="D54" s="16">
        <v>1348.19</v>
      </c>
      <c r="E54" s="7"/>
      <c r="F54" s="7"/>
      <c r="G54" s="7"/>
      <c r="H54" s="7">
        <v>627</v>
      </c>
      <c r="I54" s="7">
        <v>304</v>
      </c>
      <c r="J54" s="22"/>
      <c r="K54" s="7"/>
      <c r="L54" s="16">
        <f t="shared" si="2"/>
        <v>931</v>
      </c>
      <c r="M54" s="7"/>
      <c r="N54" s="7"/>
      <c r="O54" s="7"/>
      <c r="P54" s="7"/>
      <c r="Q54" s="16">
        <f>D54+E54+F54+G54+L54+M54+N54+P54</f>
        <v>2279.19</v>
      </c>
      <c r="R54" s="7"/>
      <c r="S54" s="7"/>
      <c r="T54" s="7"/>
      <c r="U54" s="7"/>
      <c r="V54" s="16">
        <f t="shared" si="3"/>
        <v>0</v>
      </c>
      <c r="W54" s="16">
        <f t="shared" si="5"/>
        <v>2279.19</v>
      </c>
    </row>
    <row r="55" spans="1:23" hidden="1" x14ac:dyDescent="0.25">
      <c r="H55" s="1">
        <f>SUM(H5:H54)</f>
        <v>28215</v>
      </c>
      <c r="I55" s="1">
        <f>SUM(I5:I54)</f>
        <v>9957.489999999998</v>
      </c>
      <c r="J55" s="1">
        <f>SUM(J5:J54)</f>
        <v>22469.610000000004</v>
      </c>
      <c r="K55" s="1"/>
      <c r="L55" s="1"/>
      <c r="Q55" s="3"/>
      <c r="W55" s="1">
        <f>SUM(W5:W54)</f>
        <v>287855.31</v>
      </c>
    </row>
    <row r="56" spans="1:23" x14ac:dyDescent="0.25">
      <c r="H56" s="1"/>
      <c r="I56" s="1"/>
      <c r="J56" s="1"/>
      <c r="K56" s="1"/>
      <c r="L56" s="1"/>
      <c r="Q56" s="3"/>
      <c r="W56" s="1"/>
    </row>
    <row r="57" spans="1:23" x14ac:dyDescent="0.25">
      <c r="Q57" s="3"/>
    </row>
    <row r="58" spans="1:23" ht="19.5" x14ac:dyDescent="0.3">
      <c r="A58" s="17" t="s">
        <v>95</v>
      </c>
      <c r="Q58" s="3"/>
    </row>
    <row r="59" spans="1:23" ht="19.5" x14ac:dyDescent="0.25">
      <c r="A59" s="20" t="s">
        <v>0</v>
      </c>
      <c r="B59" s="21" t="s">
        <v>1</v>
      </c>
      <c r="C59" s="21" t="s">
        <v>2</v>
      </c>
      <c r="D59" s="21" t="s">
        <v>98</v>
      </c>
      <c r="E59" s="21" t="s">
        <v>97</v>
      </c>
      <c r="F59" s="21" t="s">
        <v>10</v>
      </c>
      <c r="G59" s="20" t="s">
        <v>11</v>
      </c>
      <c r="H59" s="18"/>
      <c r="I59" s="18"/>
      <c r="J59" s="18"/>
      <c r="K59" s="18"/>
      <c r="L59" s="21" t="s">
        <v>96</v>
      </c>
      <c r="M59" s="19"/>
      <c r="N59" s="19"/>
      <c r="O59" s="19"/>
      <c r="P59" s="19"/>
      <c r="Q59" s="19"/>
      <c r="R59" s="19"/>
      <c r="S59" s="19"/>
      <c r="T59" s="19"/>
      <c r="U59" s="19"/>
    </row>
    <row r="60" spans="1:23" x14ac:dyDescent="0.25">
      <c r="A60" s="5" t="s">
        <v>16</v>
      </c>
      <c r="B60" s="6" t="s">
        <v>58</v>
      </c>
      <c r="C60" s="6" t="s">
        <v>81</v>
      </c>
      <c r="D60" s="16">
        <v>1819.67</v>
      </c>
      <c r="Q60" s="3"/>
    </row>
    <row r="61" spans="1:23" x14ac:dyDescent="0.25">
      <c r="A61" s="5" t="s">
        <v>17</v>
      </c>
      <c r="B61" s="6" t="s">
        <v>59</v>
      </c>
      <c r="C61" s="6" t="s">
        <v>89</v>
      </c>
      <c r="D61" s="16">
        <v>1820.01</v>
      </c>
      <c r="Q61" s="3"/>
    </row>
    <row r="62" spans="1:23" x14ac:dyDescent="0.25">
      <c r="A62" s="8" t="s">
        <v>19</v>
      </c>
      <c r="B62" s="9" t="s">
        <v>61</v>
      </c>
      <c r="C62" s="9" t="s">
        <v>84</v>
      </c>
      <c r="D62" s="16">
        <v>2652.11</v>
      </c>
      <c r="Q62" s="3"/>
    </row>
    <row r="63" spans="1:23" x14ac:dyDescent="0.25">
      <c r="A63" s="5" t="s">
        <v>21</v>
      </c>
      <c r="B63" s="6" t="s">
        <v>58</v>
      </c>
      <c r="C63" s="6" t="s">
        <v>85</v>
      </c>
      <c r="D63" s="16">
        <v>1812.16</v>
      </c>
      <c r="Q63" s="3"/>
    </row>
    <row r="64" spans="1:23" x14ac:dyDescent="0.25">
      <c r="A64" s="6" t="s">
        <v>23</v>
      </c>
      <c r="B64" s="6" t="s">
        <v>63</v>
      </c>
      <c r="C64" s="6" t="s">
        <v>87</v>
      </c>
      <c r="D64" s="16">
        <v>140.93</v>
      </c>
      <c r="Q64" s="3"/>
    </row>
    <row r="65" spans="1:17" x14ac:dyDescent="0.25">
      <c r="A65" s="6" t="s">
        <v>24</v>
      </c>
      <c r="B65" s="6" t="s">
        <v>58</v>
      </c>
      <c r="C65" s="6" t="s">
        <v>85</v>
      </c>
      <c r="D65" s="16">
        <v>1814.16</v>
      </c>
      <c r="Q65" s="3"/>
    </row>
    <row r="66" spans="1:17" x14ac:dyDescent="0.25">
      <c r="A66" s="11" t="s">
        <v>25</v>
      </c>
      <c r="B66" s="12" t="s">
        <v>64</v>
      </c>
      <c r="C66" s="12" t="s">
        <v>88</v>
      </c>
      <c r="D66" s="16">
        <v>4838.78</v>
      </c>
      <c r="Q66" s="3"/>
    </row>
    <row r="67" spans="1:17" x14ac:dyDescent="0.25">
      <c r="A67" s="11" t="s">
        <v>99</v>
      </c>
      <c r="B67" s="13" t="s">
        <v>65</v>
      </c>
      <c r="C67" s="13" t="s">
        <v>84</v>
      </c>
      <c r="D67" s="16">
        <v>765.13</v>
      </c>
      <c r="Q67" s="3"/>
    </row>
    <row r="68" spans="1:17" x14ac:dyDescent="0.25">
      <c r="A68" s="5" t="s">
        <v>28</v>
      </c>
      <c r="B68" s="6" t="s">
        <v>67</v>
      </c>
      <c r="C68" s="6" t="s">
        <v>85</v>
      </c>
      <c r="D68" s="16">
        <v>43.51</v>
      </c>
      <c r="Q68" s="3"/>
    </row>
    <row r="69" spans="1:17" x14ac:dyDescent="0.25">
      <c r="A69" s="5" t="s">
        <v>29</v>
      </c>
      <c r="B69" s="6" t="s">
        <v>60</v>
      </c>
      <c r="C69" s="6" t="s">
        <v>83</v>
      </c>
      <c r="D69" s="16">
        <v>6354.83</v>
      </c>
      <c r="Q69" s="3"/>
    </row>
    <row r="70" spans="1:17" x14ac:dyDescent="0.25">
      <c r="A70" s="5" t="s">
        <v>32</v>
      </c>
      <c r="B70" s="6" t="s">
        <v>70</v>
      </c>
      <c r="C70" s="6" t="s">
        <v>90</v>
      </c>
      <c r="D70" s="16">
        <v>1971.3</v>
      </c>
      <c r="Q70" s="3"/>
    </row>
    <row r="71" spans="1:17" x14ac:dyDescent="0.25">
      <c r="A71" s="5" t="s">
        <v>33</v>
      </c>
      <c r="B71" s="6" t="s">
        <v>58</v>
      </c>
      <c r="C71" s="6" t="s">
        <v>81</v>
      </c>
      <c r="D71" s="16">
        <v>36.369999999999997</v>
      </c>
      <c r="Q71" s="3"/>
    </row>
    <row r="72" spans="1:17" x14ac:dyDescent="0.25">
      <c r="A72" s="5" t="s">
        <v>34</v>
      </c>
      <c r="B72" s="6" t="s">
        <v>67</v>
      </c>
      <c r="C72" s="6" t="s">
        <v>85</v>
      </c>
      <c r="D72" s="16">
        <v>120.69</v>
      </c>
      <c r="Q72" s="3"/>
    </row>
    <row r="73" spans="1:17" x14ac:dyDescent="0.25">
      <c r="A73" s="5" t="s">
        <v>133</v>
      </c>
      <c r="B73" s="6" t="s">
        <v>134</v>
      </c>
      <c r="C73" s="6" t="s">
        <v>91</v>
      </c>
      <c r="D73" s="16">
        <v>1612.93</v>
      </c>
      <c r="Q73" s="3"/>
    </row>
    <row r="74" spans="1:17" x14ac:dyDescent="0.25">
      <c r="A74" s="5" t="s">
        <v>36</v>
      </c>
      <c r="B74" s="6" t="s">
        <v>67</v>
      </c>
      <c r="C74" s="6" t="s">
        <v>85</v>
      </c>
      <c r="D74" s="16">
        <v>120.69</v>
      </c>
      <c r="Q74" s="3"/>
    </row>
    <row r="75" spans="1:17" x14ac:dyDescent="0.25">
      <c r="A75" s="11" t="s">
        <v>120</v>
      </c>
      <c r="B75" s="13" t="s">
        <v>74</v>
      </c>
      <c r="C75" s="6" t="s">
        <v>84</v>
      </c>
      <c r="D75" s="16">
        <v>3706.98</v>
      </c>
      <c r="Q75" s="3"/>
    </row>
    <row r="76" spans="1:17" x14ac:dyDescent="0.25">
      <c r="A76" s="6" t="s">
        <v>38</v>
      </c>
      <c r="B76" s="6" t="s">
        <v>59</v>
      </c>
      <c r="C76" s="6" t="s">
        <v>89</v>
      </c>
      <c r="D76" s="16">
        <v>1896.15</v>
      </c>
      <c r="Q76" s="3"/>
    </row>
    <row r="77" spans="1:17" x14ac:dyDescent="0.25">
      <c r="A77" s="6" t="s">
        <v>39</v>
      </c>
      <c r="B77" s="6" t="s">
        <v>72</v>
      </c>
      <c r="C77" s="6" t="s">
        <v>86</v>
      </c>
      <c r="D77" s="16">
        <v>6354.83</v>
      </c>
      <c r="Q77" s="3"/>
    </row>
    <row r="78" spans="1:17" x14ac:dyDescent="0.25">
      <c r="A78" s="6" t="s">
        <v>40</v>
      </c>
      <c r="B78" s="6" t="s">
        <v>73</v>
      </c>
      <c r="C78" s="6" t="s">
        <v>83</v>
      </c>
      <c r="D78" s="16">
        <v>39.020000000000003</v>
      </c>
      <c r="Q78" s="3"/>
    </row>
    <row r="79" spans="1:17" x14ac:dyDescent="0.25">
      <c r="A79" s="6" t="s">
        <v>41</v>
      </c>
      <c r="B79" s="6" t="s">
        <v>82</v>
      </c>
      <c r="C79" s="6" t="s">
        <v>82</v>
      </c>
      <c r="D79" s="16">
        <v>4838.78</v>
      </c>
      <c r="Q79" s="3"/>
    </row>
    <row r="80" spans="1:17" x14ac:dyDescent="0.25">
      <c r="A80" s="6" t="s">
        <v>44</v>
      </c>
      <c r="B80" s="6" t="s">
        <v>70</v>
      </c>
      <c r="C80" s="6" t="s">
        <v>90</v>
      </c>
      <c r="D80" s="16">
        <v>1919.94</v>
      </c>
      <c r="Q80" s="3"/>
    </row>
    <row r="81" spans="1:17" x14ac:dyDescent="0.25">
      <c r="A81" s="5" t="s">
        <v>45</v>
      </c>
      <c r="B81" s="6" t="s">
        <v>58</v>
      </c>
      <c r="C81" s="6" t="s">
        <v>81</v>
      </c>
      <c r="D81" s="16">
        <v>54.73</v>
      </c>
      <c r="Q81" s="3"/>
    </row>
    <row r="82" spans="1:17" x14ac:dyDescent="0.25">
      <c r="A82" s="6" t="s">
        <v>46</v>
      </c>
      <c r="B82" s="6" t="s">
        <v>58</v>
      </c>
      <c r="C82" s="6" t="s">
        <v>81</v>
      </c>
      <c r="D82" s="16">
        <v>840.35</v>
      </c>
      <c r="Q82" s="3"/>
    </row>
    <row r="83" spans="1:17" x14ac:dyDescent="0.25">
      <c r="A83" s="5" t="s">
        <v>104</v>
      </c>
      <c r="B83" s="6" t="s">
        <v>59</v>
      </c>
      <c r="C83" s="6" t="s">
        <v>89</v>
      </c>
      <c r="D83" s="16">
        <v>1889.76</v>
      </c>
      <c r="Q83" s="3"/>
    </row>
    <row r="84" spans="1:17" x14ac:dyDescent="0.25">
      <c r="A84" s="6" t="s">
        <v>112</v>
      </c>
      <c r="B84" s="6" t="s">
        <v>66</v>
      </c>
      <c r="C84" s="6" t="s">
        <v>86</v>
      </c>
      <c r="D84" s="16">
        <v>4155.1099999999997</v>
      </c>
      <c r="Q84" s="3"/>
    </row>
    <row r="85" spans="1:17" x14ac:dyDescent="0.25">
      <c r="A85" s="5" t="s">
        <v>47</v>
      </c>
      <c r="B85" s="6" t="s">
        <v>66</v>
      </c>
      <c r="C85" s="6" t="s">
        <v>86</v>
      </c>
      <c r="D85" s="16">
        <v>4164.54</v>
      </c>
      <c r="Q85" s="3"/>
    </row>
    <row r="86" spans="1:17" x14ac:dyDescent="0.25">
      <c r="A86" s="5" t="s">
        <v>48</v>
      </c>
      <c r="B86" s="6" t="s">
        <v>66</v>
      </c>
      <c r="C86" s="6" t="s">
        <v>85</v>
      </c>
      <c r="D86" s="16">
        <v>4322.6099999999997</v>
      </c>
      <c r="Q86" s="3"/>
    </row>
    <row r="87" spans="1:17" x14ac:dyDescent="0.25">
      <c r="A87" s="5" t="s">
        <v>49</v>
      </c>
      <c r="B87" s="6" t="s">
        <v>58</v>
      </c>
      <c r="C87" s="6" t="s">
        <v>81</v>
      </c>
      <c r="D87" s="16">
        <v>1823.33</v>
      </c>
      <c r="Q87" s="3"/>
    </row>
    <row r="88" spans="1:17" x14ac:dyDescent="0.25">
      <c r="A88" s="5" t="s">
        <v>50</v>
      </c>
      <c r="B88" s="6" t="s">
        <v>122</v>
      </c>
      <c r="C88" s="6" t="s">
        <v>85</v>
      </c>
      <c r="D88" s="16">
        <v>6508.01</v>
      </c>
      <c r="Q88" s="3"/>
    </row>
    <row r="89" spans="1:17" x14ac:dyDescent="0.25">
      <c r="A89" s="6" t="s">
        <v>53</v>
      </c>
      <c r="B89" s="6" t="s">
        <v>73</v>
      </c>
      <c r="C89" s="6" t="s">
        <v>83</v>
      </c>
      <c r="D89" s="16">
        <v>33.35</v>
      </c>
      <c r="Q89" s="3"/>
    </row>
    <row r="90" spans="1:17" x14ac:dyDescent="0.25">
      <c r="A90" s="6" t="s">
        <v>54</v>
      </c>
      <c r="B90" s="6" t="s">
        <v>79</v>
      </c>
      <c r="C90" s="6" t="s">
        <v>87</v>
      </c>
      <c r="D90" s="16">
        <v>3553.04</v>
      </c>
      <c r="Q90" s="3"/>
    </row>
    <row r="91" spans="1:17" x14ac:dyDescent="0.25">
      <c r="A91" s="5" t="s">
        <v>55</v>
      </c>
      <c r="B91" s="6" t="s">
        <v>58</v>
      </c>
      <c r="C91" s="6" t="s">
        <v>85</v>
      </c>
      <c r="D91" s="16">
        <v>1509.93</v>
      </c>
      <c r="Q91" s="3"/>
    </row>
    <row r="92" spans="1:17" x14ac:dyDescent="0.25">
      <c r="A92" s="6" t="s">
        <v>56</v>
      </c>
      <c r="B92" s="6" t="s">
        <v>121</v>
      </c>
      <c r="C92" s="6" t="s">
        <v>89</v>
      </c>
      <c r="D92" s="16">
        <v>2857.18</v>
      </c>
      <c r="Q92" s="3"/>
    </row>
    <row r="93" spans="1:17" x14ac:dyDescent="0.25">
      <c r="Q93" s="3"/>
    </row>
    <row r="94" spans="1:17" x14ac:dyDescent="0.25">
      <c r="Q94" s="3"/>
    </row>
    <row r="95" spans="1:17" x14ac:dyDescent="0.25">
      <c r="Q95" s="3"/>
    </row>
    <row r="96" spans="1:17" x14ac:dyDescent="0.25">
      <c r="Q96" s="3"/>
    </row>
    <row r="97" spans="17:17" x14ac:dyDescent="0.25">
      <c r="Q97" s="3"/>
    </row>
    <row r="98" spans="17:17" x14ac:dyDescent="0.25">
      <c r="Q98" s="3"/>
    </row>
    <row r="99" spans="17:17" x14ac:dyDescent="0.25">
      <c r="Q99" s="3"/>
    </row>
    <row r="100" spans="17:17" x14ac:dyDescent="0.25">
      <c r="Q100" s="3"/>
    </row>
    <row r="101" spans="17:17" x14ac:dyDescent="0.25">
      <c r="Q101" s="3"/>
    </row>
    <row r="102" spans="17:17" x14ac:dyDescent="0.25">
      <c r="Q102" s="3"/>
    </row>
    <row r="103" spans="17:17" x14ac:dyDescent="0.25">
      <c r="Q103" s="3"/>
    </row>
    <row r="104" spans="17:17" x14ac:dyDescent="0.25">
      <c r="Q104" s="3"/>
    </row>
    <row r="105" spans="17:17" x14ac:dyDescent="0.25">
      <c r="Q105" s="3"/>
    </row>
    <row r="106" spans="17:17" x14ac:dyDescent="0.25">
      <c r="Q106" s="3"/>
    </row>
    <row r="107" spans="17:17" x14ac:dyDescent="0.25">
      <c r="Q107" s="3"/>
    </row>
    <row r="108" spans="17:17" x14ac:dyDescent="0.25">
      <c r="Q108" s="3"/>
    </row>
    <row r="109" spans="17:17" x14ac:dyDescent="0.25">
      <c r="Q109" s="3"/>
    </row>
    <row r="110" spans="17:17" x14ac:dyDescent="0.25">
      <c r="Q110" s="3"/>
    </row>
    <row r="111" spans="17:17" x14ac:dyDescent="0.25">
      <c r="Q111" s="3"/>
    </row>
    <row r="112" spans="17:17" x14ac:dyDescent="0.25">
      <c r="Q112" s="3"/>
    </row>
    <row r="113" spans="17:17" x14ac:dyDescent="0.25">
      <c r="Q113" s="3"/>
    </row>
    <row r="114" spans="17:17" x14ac:dyDescent="0.25">
      <c r="Q114" s="3"/>
    </row>
    <row r="115" spans="17:17" x14ac:dyDescent="0.25">
      <c r="Q115" s="3"/>
    </row>
    <row r="116" spans="17:17" x14ac:dyDescent="0.25">
      <c r="Q116" s="3"/>
    </row>
    <row r="117" spans="17:17" x14ac:dyDescent="0.25">
      <c r="Q117" s="3"/>
    </row>
    <row r="118" spans="17:17" x14ac:dyDescent="0.25">
      <c r="Q118" s="3"/>
    </row>
    <row r="119" spans="17:17" x14ac:dyDescent="0.25">
      <c r="Q119" s="3"/>
    </row>
    <row r="120" spans="17:17" x14ac:dyDescent="0.25">
      <c r="Q120" s="3"/>
    </row>
    <row r="121" spans="17:17" x14ac:dyDescent="0.25">
      <c r="Q121" s="3"/>
    </row>
    <row r="122" spans="17:17" x14ac:dyDescent="0.25">
      <c r="Q122" s="3"/>
    </row>
    <row r="123" spans="17:17" x14ac:dyDescent="0.25">
      <c r="Q123" s="3"/>
    </row>
    <row r="124" spans="17:17" x14ac:dyDescent="0.25">
      <c r="Q124" s="3"/>
    </row>
    <row r="125" spans="17:17" x14ac:dyDescent="0.25">
      <c r="Q125" s="3"/>
    </row>
    <row r="126" spans="17:17" x14ac:dyDescent="0.25">
      <c r="Q126" s="3"/>
    </row>
    <row r="127" spans="17:17" x14ac:dyDescent="0.25">
      <c r="Q127" s="3"/>
    </row>
    <row r="128" spans="17:17" x14ac:dyDescent="0.25">
      <c r="Q128" s="3"/>
    </row>
    <row r="129" spans="17:17" x14ac:dyDescent="0.25">
      <c r="Q129" s="3"/>
    </row>
    <row r="130" spans="17:17" x14ac:dyDescent="0.25">
      <c r="Q130" s="3"/>
    </row>
    <row r="131" spans="17:17" x14ac:dyDescent="0.25">
      <c r="Q131" s="3"/>
    </row>
    <row r="132" spans="17:17" x14ac:dyDescent="0.25">
      <c r="Q132" s="3"/>
    </row>
    <row r="133" spans="17:17" x14ac:dyDescent="0.25">
      <c r="Q133" s="3"/>
    </row>
    <row r="134" spans="17:17" x14ac:dyDescent="0.25">
      <c r="Q134" s="3"/>
    </row>
    <row r="135" spans="17:17" x14ac:dyDescent="0.25">
      <c r="Q135" s="3"/>
    </row>
    <row r="136" spans="17:17" x14ac:dyDescent="0.25">
      <c r="Q136" s="3"/>
    </row>
    <row r="137" spans="17:17" x14ac:dyDescent="0.25">
      <c r="Q137" s="3"/>
    </row>
    <row r="138" spans="17:17" x14ac:dyDescent="0.25">
      <c r="Q138" s="3"/>
    </row>
    <row r="139" spans="17:17" x14ac:dyDescent="0.25">
      <c r="Q139" s="3"/>
    </row>
    <row r="140" spans="17:17" x14ac:dyDescent="0.25">
      <c r="Q140" s="3"/>
    </row>
    <row r="141" spans="17:17" x14ac:dyDescent="0.25">
      <c r="Q141" s="3"/>
    </row>
    <row r="142" spans="17:17" x14ac:dyDescent="0.25">
      <c r="Q142" s="3"/>
    </row>
    <row r="143" spans="17:17" x14ac:dyDescent="0.25">
      <c r="Q143" s="3"/>
    </row>
    <row r="144" spans="17:17" x14ac:dyDescent="0.25">
      <c r="Q144" s="3"/>
    </row>
    <row r="145" spans="17:17" x14ac:dyDescent="0.25">
      <c r="Q145" s="3"/>
    </row>
    <row r="146" spans="17:17" x14ac:dyDescent="0.25">
      <c r="Q146" s="3"/>
    </row>
  </sheetData>
  <autoFilter ref="A4:W92"/>
  <sortState ref="A5:W54">
    <sortCondition ref="A4"/>
  </sortState>
  <pageMargins left="0.51181102362204722" right="0.51181102362204722" top="0.78740157480314965" bottom="0.78740157480314965" header="0.31496062992125984" footer="0.31496062992125984"/>
  <pageSetup paperSize="9" scale="34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showGridLines="0" tabSelected="1" zoomScaleNormal="100" workbookViewId="0">
      <pane xSplit="1" ySplit="4" topLeftCell="B65" activePane="bottomRight" state="frozen"/>
      <selection activeCell="V68" sqref="V68"/>
      <selection pane="topRight" activeCell="V68" sqref="V68"/>
      <selection pane="bottomLeft" activeCell="V68" sqref="V68"/>
      <selection pane="bottomRight" activeCell="E73" sqref="E73:G73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3" width="22" style="2" hidden="1" customWidth="1"/>
    <col min="14" max="14" width="22" style="2" customWidth="1"/>
    <col min="15" max="15" width="19.7109375" style="2" customWidth="1"/>
    <col min="16" max="17" width="22.140625" style="2" customWidth="1"/>
    <col min="18" max="18" width="16.28515625" style="2" customWidth="1"/>
    <col min="19" max="19" width="20.28515625" style="2" customWidth="1"/>
    <col min="20" max="20" width="13" style="2" bestFit="1" customWidth="1"/>
    <col min="21" max="21" width="12.140625" style="2" bestFit="1" customWidth="1"/>
    <col min="22" max="22" width="18.85546875" style="2" bestFit="1" customWidth="1"/>
    <col min="23" max="23" width="12.140625" style="2" bestFit="1" customWidth="1"/>
    <col min="24" max="24" width="17.5703125" style="2" bestFit="1" customWidth="1"/>
    <col min="25" max="25" width="14.85546875" style="2" bestFit="1" customWidth="1"/>
    <col min="26" max="16384" width="9.140625" style="2"/>
  </cols>
  <sheetData>
    <row r="1" spans="1:25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A2" s="4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1:25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144</v>
      </c>
      <c r="J4" s="18" t="s">
        <v>145</v>
      </c>
      <c r="K4" s="18" t="s">
        <v>92</v>
      </c>
      <c r="L4" s="18" t="s">
        <v>115</v>
      </c>
      <c r="M4" s="18" t="s">
        <v>109</v>
      </c>
      <c r="N4" s="21" t="s">
        <v>6</v>
      </c>
      <c r="O4" s="21" t="s">
        <v>7</v>
      </c>
      <c r="P4" s="21" t="s">
        <v>101</v>
      </c>
      <c r="Q4" s="20" t="s">
        <v>135</v>
      </c>
      <c r="R4" s="20" t="s">
        <v>8</v>
      </c>
      <c r="S4" s="21" t="s">
        <v>9</v>
      </c>
      <c r="T4" s="21" t="s">
        <v>10</v>
      </c>
      <c r="U4" s="21" t="s">
        <v>11</v>
      </c>
      <c r="V4" s="21" t="s">
        <v>12</v>
      </c>
      <c r="W4" s="21" t="s">
        <v>92</v>
      </c>
      <c r="X4" s="20" t="s">
        <v>13</v>
      </c>
      <c r="Y4" s="21" t="s">
        <v>14</v>
      </c>
    </row>
    <row r="5" spans="1:25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660</v>
      </c>
      <c r="I5" s="7">
        <f>726</f>
        <v>726</v>
      </c>
      <c r="J5" s="7">
        <v>108.71</v>
      </c>
      <c r="K5" s="7">
        <v>520</v>
      </c>
      <c r="L5" s="22">
        <v>428.05</v>
      </c>
      <c r="M5" s="7"/>
      <c r="N5" s="16">
        <f>H5+I5+J5+K5+M5+L5</f>
        <v>2442.7600000000002</v>
      </c>
      <c r="O5" s="7"/>
      <c r="P5" s="7"/>
      <c r="Q5" s="7"/>
      <c r="R5" s="7"/>
      <c r="S5" s="16">
        <f t="shared" ref="S5:S30" si="0">D5+E5+F5+G5+N5+O5+P5+R5</f>
        <v>6066.2800000000007</v>
      </c>
      <c r="T5" s="7">
        <v>119.43</v>
      </c>
      <c r="U5" s="7">
        <v>390.75</v>
      </c>
      <c r="V5" s="7">
        <f>71.26+36.24+12.49</f>
        <v>119.99</v>
      </c>
      <c r="W5" s="7">
        <v>144.94</v>
      </c>
      <c r="X5" s="16">
        <f t="shared" ref="X5:X54" si="1">T5+U5+V5+W5</f>
        <v>775.1099999999999</v>
      </c>
      <c r="Y5" s="16">
        <f t="shared" ref="Y5:Y54" si="2">S5-X5</f>
        <v>5291.170000000001</v>
      </c>
    </row>
    <row r="6" spans="1:25" x14ac:dyDescent="0.25">
      <c r="A6" s="5" t="s">
        <v>17</v>
      </c>
      <c r="B6" s="6" t="s">
        <v>59</v>
      </c>
      <c r="C6" s="6" t="s">
        <v>89</v>
      </c>
      <c r="D6" s="16">
        <v>3623.52</v>
      </c>
      <c r="E6" s="7"/>
      <c r="F6" s="7"/>
      <c r="G6" s="7"/>
      <c r="H6" s="7">
        <v>660</v>
      </c>
      <c r="I6" s="7">
        <f>726</f>
        <v>726</v>
      </c>
      <c r="J6" s="7">
        <v>108.71</v>
      </c>
      <c r="K6" s="7"/>
      <c r="L6" s="16"/>
      <c r="M6" s="7">
        <v>260</v>
      </c>
      <c r="N6" s="16">
        <f t="shared" ref="N6:N54" si="3">H6+I6+J6+K6+M6+L6</f>
        <v>1754.71</v>
      </c>
      <c r="O6" s="7"/>
      <c r="P6" s="7"/>
      <c r="Q6" s="7"/>
      <c r="R6" s="7"/>
      <c r="S6" s="16">
        <f t="shared" si="0"/>
        <v>5378.23</v>
      </c>
      <c r="T6" s="7">
        <v>72.06</v>
      </c>
      <c r="U6" s="7">
        <v>398.59</v>
      </c>
      <c r="V6" s="7"/>
      <c r="W6" s="7"/>
      <c r="X6" s="16">
        <f t="shared" si="1"/>
        <v>470.65</v>
      </c>
      <c r="Y6" s="16">
        <f t="shared" si="2"/>
        <v>4907.58</v>
      </c>
    </row>
    <row r="7" spans="1:25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660</v>
      </c>
      <c r="I7" s="7">
        <f>726</f>
        <v>726</v>
      </c>
      <c r="J7" s="7">
        <v>159.13</v>
      </c>
      <c r="K7" s="7">
        <v>144</v>
      </c>
      <c r="L7" s="22">
        <v>461.79</v>
      </c>
      <c r="M7" s="7"/>
      <c r="N7" s="16">
        <f t="shared" si="3"/>
        <v>2150.92</v>
      </c>
      <c r="O7" s="7"/>
      <c r="P7" s="7"/>
      <c r="Q7" s="7"/>
      <c r="R7" s="7">
        <v>4081.78</v>
      </c>
      <c r="S7" s="16">
        <f t="shared" si="0"/>
        <v>11536.92</v>
      </c>
      <c r="T7" s="7">
        <v>1440.19</v>
      </c>
      <c r="U7" s="7">
        <v>608.44000000000005</v>
      </c>
      <c r="V7" s="7"/>
      <c r="W7" s="7">
        <v>144</v>
      </c>
      <c r="X7" s="16">
        <f t="shared" si="1"/>
        <v>2192.63</v>
      </c>
      <c r="Y7" s="16">
        <f t="shared" si="2"/>
        <v>9344.2900000000009</v>
      </c>
    </row>
    <row r="8" spans="1:25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660</v>
      </c>
      <c r="I8" s="7">
        <f>726</f>
        <v>726</v>
      </c>
      <c r="J8" s="7">
        <v>108.71</v>
      </c>
      <c r="K8" s="7">
        <v>316</v>
      </c>
      <c r="L8" s="22">
        <v>450.64</v>
      </c>
      <c r="M8" s="7"/>
      <c r="N8" s="16">
        <f t="shared" si="3"/>
        <v>2261.35</v>
      </c>
      <c r="O8" s="7"/>
      <c r="P8" s="7"/>
      <c r="Q8" s="7"/>
      <c r="R8" s="7"/>
      <c r="S8" s="16">
        <f t="shared" si="0"/>
        <v>5884.87</v>
      </c>
      <c r="T8" s="7">
        <v>100.5</v>
      </c>
      <c r="U8" s="7">
        <v>398.59</v>
      </c>
      <c r="V8" s="7">
        <f>36.24+24.98</f>
        <v>61.22</v>
      </c>
      <c r="W8" s="7">
        <v>144.94</v>
      </c>
      <c r="X8" s="16">
        <f t="shared" si="1"/>
        <v>705.25</v>
      </c>
      <c r="Y8" s="16">
        <f t="shared" si="2"/>
        <v>5179.62</v>
      </c>
    </row>
    <row r="9" spans="1:25" x14ac:dyDescent="0.25">
      <c r="A9" s="5" t="s">
        <v>105</v>
      </c>
      <c r="B9" s="6" t="s">
        <v>62</v>
      </c>
      <c r="C9" s="6" t="s">
        <v>83</v>
      </c>
      <c r="D9" s="16">
        <v>1348.19</v>
      </c>
      <c r="E9" s="7"/>
      <c r="F9" s="7"/>
      <c r="G9" s="7"/>
      <c r="H9" s="7">
        <v>660</v>
      </c>
      <c r="I9" s="7">
        <f>726</f>
        <v>726</v>
      </c>
      <c r="J9" s="7"/>
      <c r="K9" s="7">
        <v>172</v>
      </c>
      <c r="L9" s="22"/>
      <c r="M9" s="7"/>
      <c r="N9" s="16">
        <f t="shared" si="3"/>
        <v>1558</v>
      </c>
      <c r="O9" s="10"/>
      <c r="P9" s="7"/>
      <c r="Q9" s="7"/>
      <c r="R9" s="7"/>
      <c r="S9" s="16">
        <f t="shared" si="0"/>
        <v>2906.19</v>
      </c>
      <c r="T9" s="7"/>
      <c r="U9" s="7"/>
      <c r="V9" s="7"/>
      <c r="W9" s="7"/>
      <c r="X9" s="16">
        <f t="shared" si="1"/>
        <v>0</v>
      </c>
      <c r="Y9" s="16">
        <f t="shared" si="2"/>
        <v>2906.19</v>
      </c>
    </row>
    <row r="10" spans="1:25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660</v>
      </c>
      <c r="I10" s="7">
        <f>726</f>
        <v>726</v>
      </c>
      <c r="J10" s="7">
        <v>108.71</v>
      </c>
      <c r="K10" s="7">
        <v>144</v>
      </c>
      <c r="L10" s="22"/>
      <c r="M10" s="7"/>
      <c r="N10" s="16">
        <f t="shared" si="3"/>
        <v>1638.71</v>
      </c>
      <c r="O10" s="7"/>
      <c r="P10" s="7"/>
      <c r="Q10" s="7"/>
      <c r="R10" s="7"/>
      <c r="S10" s="16">
        <f t="shared" si="0"/>
        <v>5262.23</v>
      </c>
      <c r="T10" s="7">
        <v>128.69999999999999</v>
      </c>
      <c r="U10" s="7">
        <v>398.39</v>
      </c>
      <c r="V10" s="7">
        <f>36.24+1.81</f>
        <v>38.050000000000004</v>
      </c>
      <c r="W10" s="7">
        <v>144</v>
      </c>
      <c r="X10" s="16">
        <f t="shared" si="1"/>
        <v>709.13999999999987</v>
      </c>
      <c r="Y10" s="16">
        <f t="shared" si="2"/>
        <v>4553.09</v>
      </c>
    </row>
    <row r="11" spans="1:25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660</v>
      </c>
      <c r="I11" s="7">
        <f>726</f>
        <v>726</v>
      </c>
      <c r="J11" s="7">
        <v>290.33</v>
      </c>
      <c r="K11" s="7"/>
      <c r="L11" s="22">
        <v>363.11</v>
      </c>
      <c r="M11" s="7"/>
      <c r="N11" s="16">
        <f t="shared" si="3"/>
        <v>2039.44</v>
      </c>
      <c r="O11" s="10"/>
      <c r="P11" s="7"/>
      <c r="Q11" s="7"/>
      <c r="R11" s="7"/>
      <c r="S11" s="16">
        <f t="shared" si="0"/>
        <v>11717</v>
      </c>
      <c r="T11" s="7">
        <v>1624.65</v>
      </c>
      <c r="U11" s="7">
        <v>608.44000000000005</v>
      </c>
      <c r="V11" s="7"/>
      <c r="W11" s="7"/>
      <c r="X11" s="16">
        <f t="shared" si="1"/>
        <v>2233.09</v>
      </c>
      <c r="Y11" s="16">
        <f t="shared" si="2"/>
        <v>9483.91</v>
      </c>
    </row>
    <row r="12" spans="1:25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/>
      <c r="H12" s="7">
        <v>660</v>
      </c>
      <c r="I12" s="7">
        <f>726</f>
        <v>726</v>
      </c>
      <c r="J12" s="7">
        <v>108.71</v>
      </c>
      <c r="K12" s="7">
        <v>316</v>
      </c>
      <c r="L12" s="22"/>
      <c r="M12" s="7"/>
      <c r="N12" s="16">
        <f t="shared" si="3"/>
        <v>1810.71</v>
      </c>
      <c r="O12" s="7"/>
      <c r="P12" s="7"/>
      <c r="Q12" s="7"/>
      <c r="R12" s="7"/>
      <c r="S12" s="16">
        <f t="shared" si="0"/>
        <v>5434.23</v>
      </c>
      <c r="T12" s="7">
        <v>128.94</v>
      </c>
      <c r="U12" s="7">
        <v>398.59</v>
      </c>
      <c r="V12" s="7"/>
      <c r="W12" s="7">
        <v>144.94</v>
      </c>
      <c r="X12" s="16">
        <f t="shared" si="1"/>
        <v>672.47</v>
      </c>
      <c r="Y12" s="16">
        <f t="shared" si="2"/>
        <v>4761.7599999999993</v>
      </c>
    </row>
    <row r="13" spans="1:25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495</v>
      </c>
      <c r="I13" s="7">
        <f>726</f>
        <v>726</v>
      </c>
      <c r="J13" s="7">
        <v>290.33</v>
      </c>
      <c r="K13" s="7">
        <v>129</v>
      </c>
      <c r="L13" s="22">
        <v>849.93</v>
      </c>
      <c r="M13" s="7"/>
      <c r="N13" s="16">
        <f t="shared" si="3"/>
        <v>2490.2599999999998</v>
      </c>
      <c r="O13" s="7"/>
      <c r="P13" s="7"/>
      <c r="Q13" s="7"/>
      <c r="R13" s="7"/>
      <c r="S13" s="16">
        <f t="shared" si="0"/>
        <v>12167.82</v>
      </c>
      <c r="T13" s="7">
        <v>1624.65</v>
      </c>
      <c r="U13" s="7">
        <v>608.44000000000005</v>
      </c>
      <c r="V13" s="7"/>
      <c r="W13" s="7">
        <v>129</v>
      </c>
      <c r="X13" s="16">
        <f t="shared" si="1"/>
        <v>2362.09</v>
      </c>
      <c r="Y13" s="16">
        <f t="shared" si="2"/>
        <v>9805.73</v>
      </c>
    </row>
    <row r="14" spans="1:25" x14ac:dyDescent="0.25">
      <c r="A14" s="5" t="s">
        <v>103</v>
      </c>
      <c r="B14" s="6" t="s">
        <v>62</v>
      </c>
      <c r="C14" s="6" t="s">
        <v>89</v>
      </c>
      <c r="D14" s="16">
        <v>1303.25</v>
      </c>
      <c r="E14" s="7">
        <v>1572.89</v>
      </c>
      <c r="F14" s="7"/>
      <c r="G14" s="7"/>
      <c r="H14" s="7">
        <v>660</v>
      </c>
      <c r="I14" s="7">
        <f>726</f>
        <v>726</v>
      </c>
      <c r="J14" s="7"/>
      <c r="K14" s="7">
        <v>320</v>
      </c>
      <c r="L14" s="22"/>
      <c r="M14" s="7"/>
      <c r="N14" s="16">
        <f t="shared" si="3"/>
        <v>1706</v>
      </c>
      <c r="O14" s="7"/>
      <c r="P14" s="7"/>
      <c r="Q14" s="7"/>
      <c r="R14" s="7"/>
      <c r="S14" s="16">
        <f t="shared" si="0"/>
        <v>4582.1400000000003</v>
      </c>
      <c r="T14" s="7"/>
      <c r="U14" s="7"/>
      <c r="V14" s="7"/>
      <c r="W14" s="7"/>
      <c r="X14" s="16">
        <f t="shared" si="1"/>
        <v>0</v>
      </c>
      <c r="Y14" s="16">
        <f t="shared" si="2"/>
        <v>4582.1400000000003</v>
      </c>
    </row>
    <row r="15" spans="1:25" x14ac:dyDescent="0.25">
      <c r="A15" s="11" t="s">
        <v>99</v>
      </c>
      <c r="B15" s="13" t="s">
        <v>65</v>
      </c>
      <c r="C15" s="13" t="s">
        <v>84</v>
      </c>
      <c r="D15" s="16"/>
      <c r="E15" s="7">
        <f>1530.26</f>
        <v>1530.26</v>
      </c>
      <c r="F15" s="7"/>
      <c r="G15" s="7"/>
      <c r="H15" s="7"/>
      <c r="I15" s="7">
        <f>726</f>
        <v>726</v>
      </c>
      <c r="J15" s="7">
        <v>474.25</v>
      </c>
      <c r="K15" s="7"/>
      <c r="L15" s="22"/>
      <c r="M15" s="7"/>
      <c r="N15" s="16">
        <f t="shared" si="3"/>
        <v>1200.25</v>
      </c>
      <c r="O15" s="7">
        <v>510.09</v>
      </c>
      <c r="P15" s="7"/>
      <c r="Q15" s="7"/>
      <c r="R15" s="7"/>
      <c r="S15" s="16">
        <f t="shared" si="0"/>
        <v>3240.6000000000004</v>
      </c>
      <c r="T15" s="7"/>
      <c r="U15" s="7"/>
      <c r="V15" s="7"/>
      <c r="W15" s="7"/>
      <c r="X15" s="16">
        <f t="shared" si="1"/>
        <v>0</v>
      </c>
      <c r="Y15" s="16">
        <f t="shared" si="2"/>
        <v>3240.6000000000004</v>
      </c>
    </row>
    <row r="16" spans="1:25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/>
      <c r="H16" s="7">
        <v>660</v>
      </c>
      <c r="I16" s="7">
        <f>726</f>
        <v>726</v>
      </c>
      <c r="J16" s="7">
        <v>108.71</v>
      </c>
      <c r="K16" s="7">
        <v>316</v>
      </c>
      <c r="L16" s="22">
        <v>431.32</v>
      </c>
      <c r="M16" s="7"/>
      <c r="N16" s="16">
        <f t="shared" si="3"/>
        <v>2242.0300000000002</v>
      </c>
      <c r="O16" s="7"/>
      <c r="P16" s="7"/>
      <c r="Q16" s="7"/>
      <c r="R16" s="7"/>
      <c r="S16" s="16">
        <f t="shared" si="0"/>
        <v>5865.55</v>
      </c>
      <c r="T16" s="7">
        <v>128.94</v>
      </c>
      <c r="U16" s="7">
        <v>398.59</v>
      </c>
      <c r="V16" s="7">
        <f>36.24+12.49</f>
        <v>48.730000000000004</v>
      </c>
      <c r="W16" s="7">
        <v>144.94</v>
      </c>
      <c r="X16" s="16">
        <f t="shared" si="1"/>
        <v>721.2</v>
      </c>
      <c r="Y16" s="16">
        <f t="shared" si="2"/>
        <v>5144.3500000000004</v>
      </c>
    </row>
    <row r="17" spans="1:25" x14ac:dyDescent="0.25">
      <c r="A17" s="5" t="s">
        <v>27</v>
      </c>
      <c r="B17" s="6" t="s">
        <v>66</v>
      </c>
      <c r="C17" s="6" t="s">
        <v>86</v>
      </c>
      <c r="D17" s="16">
        <v>8011.25</v>
      </c>
      <c r="E17" s="7">
        <f>276.25+3.67+59.28+0.62+21.62</f>
        <v>361.44000000000005</v>
      </c>
      <c r="F17" s="7"/>
      <c r="G17" s="7">
        <f>70.44+11.74</f>
        <v>82.179999999999993</v>
      </c>
      <c r="H17" s="7">
        <v>627</v>
      </c>
      <c r="I17" s="7">
        <f>726</f>
        <v>726</v>
      </c>
      <c r="J17" s="7">
        <v>248.63</v>
      </c>
      <c r="K17" s="7">
        <v>163.4</v>
      </c>
      <c r="L17" s="22"/>
      <c r="M17" s="7"/>
      <c r="N17" s="16">
        <f t="shared" si="3"/>
        <v>1765.0300000000002</v>
      </c>
      <c r="O17" s="7">
        <v>94.11</v>
      </c>
      <c r="P17" s="7"/>
      <c r="Q17" s="7"/>
      <c r="R17" s="7"/>
      <c r="S17" s="16">
        <f t="shared" si="0"/>
        <v>10314.010000000002</v>
      </c>
      <c r="T17" s="7">
        <v>1197.3</v>
      </c>
      <c r="U17" s="7">
        <f>578.32+30.12</f>
        <v>608.44000000000005</v>
      </c>
      <c r="V17" s="7"/>
      <c r="W17" s="7">
        <v>163.4</v>
      </c>
      <c r="X17" s="16">
        <f t="shared" si="1"/>
        <v>1969.14</v>
      </c>
      <c r="Y17" s="16">
        <f t="shared" si="2"/>
        <v>8344.8700000000026</v>
      </c>
    </row>
    <row r="18" spans="1:25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/>
      <c r="H18" s="7">
        <v>693</v>
      </c>
      <c r="I18" s="7">
        <f>726</f>
        <v>726</v>
      </c>
      <c r="J18" s="7">
        <v>248.63</v>
      </c>
      <c r="K18" s="7"/>
      <c r="L18" s="22"/>
      <c r="M18" s="7"/>
      <c r="N18" s="16">
        <f t="shared" si="3"/>
        <v>1667.63</v>
      </c>
      <c r="O18" s="7"/>
      <c r="P18" s="7"/>
      <c r="Q18" s="7"/>
      <c r="R18" s="7"/>
      <c r="S18" s="16">
        <f t="shared" si="0"/>
        <v>9955.130000000001</v>
      </c>
      <c r="T18" s="7">
        <v>1242.3800000000001</v>
      </c>
      <c r="U18" s="7">
        <v>608.44000000000005</v>
      </c>
      <c r="V18" s="7">
        <v>24.98</v>
      </c>
      <c r="W18" s="7"/>
      <c r="X18" s="16">
        <f t="shared" si="1"/>
        <v>1875.8000000000002</v>
      </c>
      <c r="Y18" s="16">
        <f>S18-X18</f>
        <v>8079.3300000000008</v>
      </c>
    </row>
    <row r="19" spans="1:25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v>660</v>
      </c>
      <c r="I19" s="7">
        <f>726</f>
        <v>726</v>
      </c>
      <c r="J19" s="7">
        <v>381.29</v>
      </c>
      <c r="K19" s="7"/>
      <c r="L19" s="22">
        <v>611.53</v>
      </c>
      <c r="M19" s="7"/>
      <c r="N19" s="16">
        <f t="shared" si="3"/>
        <v>2378.8199999999997</v>
      </c>
      <c r="O19" s="7"/>
      <c r="P19" s="7"/>
      <c r="Q19" s="7"/>
      <c r="R19" s="7">
        <v>3098.74</v>
      </c>
      <c r="S19" s="16">
        <f t="shared" si="0"/>
        <v>18187.22</v>
      </c>
      <c r="T19" s="7">
        <v>3310.63</v>
      </c>
      <c r="U19" s="7">
        <v>608.44000000000005</v>
      </c>
      <c r="V19" s="7"/>
      <c r="W19" s="7"/>
      <c r="X19" s="16">
        <f t="shared" si="1"/>
        <v>3919.07</v>
      </c>
      <c r="Y19" s="16">
        <f t="shared" si="2"/>
        <v>14268.150000000001</v>
      </c>
    </row>
    <row r="20" spans="1:25" x14ac:dyDescent="0.25">
      <c r="A20" s="11" t="s">
        <v>139</v>
      </c>
      <c r="B20" s="6" t="s">
        <v>66</v>
      </c>
      <c r="C20" s="6" t="s">
        <v>86</v>
      </c>
      <c r="D20" s="16">
        <v>8287.5</v>
      </c>
      <c r="E20" s="7"/>
      <c r="F20" s="7"/>
      <c r="G20" s="7"/>
      <c r="H20" s="7">
        <v>891</v>
      </c>
      <c r="I20" s="7">
        <f>726</f>
        <v>726</v>
      </c>
      <c r="J20" s="7">
        <v>248.63</v>
      </c>
      <c r="K20" s="7">
        <v>232.2</v>
      </c>
      <c r="L20" s="22"/>
      <c r="M20" s="7"/>
      <c r="N20" s="16">
        <f t="shared" si="3"/>
        <v>2097.83</v>
      </c>
      <c r="O20" s="7"/>
      <c r="P20" s="7"/>
      <c r="Q20" s="7"/>
      <c r="R20" s="7"/>
      <c r="S20" s="16">
        <f t="shared" si="0"/>
        <v>10385.33</v>
      </c>
      <c r="T20" s="7">
        <v>1242.3800000000001</v>
      </c>
      <c r="U20" s="7">
        <v>608.44000000000005</v>
      </c>
      <c r="V20" s="7"/>
      <c r="W20" s="7">
        <v>232.2</v>
      </c>
      <c r="X20" s="16">
        <f t="shared" si="1"/>
        <v>2083.02</v>
      </c>
      <c r="Y20" s="16">
        <f t="shared" si="2"/>
        <v>8302.31</v>
      </c>
    </row>
    <row r="21" spans="1:25" x14ac:dyDescent="0.25">
      <c r="A21" s="5" t="s">
        <v>32</v>
      </c>
      <c r="B21" s="6" t="s">
        <v>70</v>
      </c>
      <c r="C21" s="6" t="s">
        <v>90</v>
      </c>
      <c r="D21" s="16">
        <v>3623.52</v>
      </c>
      <c r="E21" s="7"/>
      <c r="F21" s="7"/>
      <c r="G21" s="7">
        <f>33.97+5.66</f>
        <v>39.629999999999995</v>
      </c>
      <c r="H21" s="7">
        <v>660</v>
      </c>
      <c r="I21" s="7">
        <f>726</f>
        <v>726</v>
      </c>
      <c r="J21" s="7">
        <v>108.71</v>
      </c>
      <c r="K21" s="7"/>
      <c r="L21" s="22"/>
      <c r="M21" s="7"/>
      <c r="N21" s="16">
        <f t="shared" si="3"/>
        <v>1494.71</v>
      </c>
      <c r="O21" s="7"/>
      <c r="P21" s="7"/>
      <c r="Q21" s="7"/>
      <c r="R21" s="7"/>
      <c r="S21" s="16">
        <f t="shared" si="0"/>
        <v>5157.8600000000006</v>
      </c>
      <c r="T21" s="7">
        <v>130.6</v>
      </c>
      <c r="U21" s="7">
        <v>399.96</v>
      </c>
      <c r="V21" s="7">
        <f>27.18+36.24</f>
        <v>63.42</v>
      </c>
      <c r="W21" s="7"/>
      <c r="X21" s="16">
        <f t="shared" si="1"/>
        <v>593.9799999999999</v>
      </c>
      <c r="Y21" s="16">
        <f t="shared" si="2"/>
        <v>4563.880000000001</v>
      </c>
    </row>
    <row r="22" spans="1:25" x14ac:dyDescent="0.25">
      <c r="A22" s="5" t="s">
        <v>33</v>
      </c>
      <c r="B22" s="6" t="s">
        <v>58</v>
      </c>
      <c r="C22" s="6" t="s">
        <v>81</v>
      </c>
      <c r="D22" s="16">
        <v>3623.52</v>
      </c>
      <c r="E22" s="7"/>
      <c r="F22" s="7"/>
      <c r="G22" s="7"/>
      <c r="H22" s="7">
        <v>660</v>
      </c>
      <c r="I22" s="7">
        <f>726</f>
        <v>726</v>
      </c>
      <c r="J22" s="7">
        <v>108.71</v>
      </c>
      <c r="K22" s="7"/>
      <c r="L22" s="22">
        <v>504.77</v>
      </c>
      <c r="M22" s="7"/>
      <c r="N22" s="16">
        <f t="shared" si="3"/>
        <v>1999.48</v>
      </c>
      <c r="O22" s="7"/>
      <c r="P22" s="7"/>
      <c r="Q22" s="7"/>
      <c r="R22" s="7"/>
      <c r="S22" s="16">
        <f t="shared" si="0"/>
        <v>5623</v>
      </c>
      <c r="T22" s="7">
        <v>128.01</v>
      </c>
      <c r="U22" s="7">
        <v>397.82</v>
      </c>
      <c r="V22" s="7">
        <f>24.98+6.95</f>
        <v>31.93</v>
      </c>
      <c r="W22" s="7"/>
      <c r="X22" s="16">
        <f t="shared" si="1"/>
        <v>557.75999999999988</v>
      </c>
      <c r="Y22" s="16">
        <f t="shared" si="2"/>
        <v>5065.24</v>
      </c>
    </row>
    <row r="23" spans="1:25" x14ac:dyDescent="0.25">
      <c r="A23" s="5" t="s">
        <v>34</v>
      </c>
      <c r="B23" s="6" t="s">
        <v>67</v>
      </c>
      <c r="C23" s="6" t="s">
        <v>85</v>
      </c>
      <c r="D23" s="16">
        <v>8287.5</v>
      </c>
      <c r="E23" s="7"/>
      <c r="F23" s="7"/>
      <c r="G23" s="7"/>
      <c r="H23" s="7">
        <v>660</v>
      </c>
      <c r="I23" s="7">
        <f>726</f>
        <v>726</v>
      </c>
      <c r="J23" s="7">
        <v>248.63</v>
      </c>
      <c r="K23" s="7"/>
      <c r="L23" s="26">
        <v>513.08000000000004</v>
      </c>
      <c r="M23" s="7"/>
      <c r="N23" s="16">
        <f t="shared" si="3"/>
        <v>2147.71</v>
      </c>
      <c r="O23" s="7"/>
      <c r="P23" s="7"/>
      <c r="Q23" s="7"/>
      <c r="R23" s="7"/>
      <c r="S23" s="16">
        <f t="shared" si="0"/>
        <v>10435.209999999999</v>
      </c>
      <c r="T23" s="7">
        <v>1242.3800000000001</v>
      </c>
      <c r="U23" s="7">
        <v>608.44000000000005</v>
      </c>
      <c r="V23" s="7"/>
      <c r="W23" s="7"/>
      <c r="X23" s="16">
        <f t="shared" si="1"/>
        <v>1850.8200000000002</v>
      </c>
      <c r="Y23" s="16">
        <f t="shared" si="2"/>
        <v>8584.39</v>
      </c>
    </row>
    <row r="24" spans="1:25" x14ac:dyDescent="0.25">
      <c r="A24" s="5" t="s">
        <v>110</v>
      </c>
      <c r="B24" s="6" t="s">
        <v>62</v>
      </c>
      <c r="C24" s="6" t="s">
        <v>93</v>
      </c>
      <c r="D24" s="16">
        <v>1348.19</v>
      </c>
      <c r="E24" s="7"/>
      <c r="F24" s="7"/>
      <c r="G24" s="7"/>
      <c r="H24" s="7">
        <v>297</v>
      </c>
      <c r="I24" s="7">
        <f>726</f>
        <v>726</v>
      </c>
      <c r="J24" s="7"/>
      <c r="K24" s="7">
        <v>144</v>
      </c>
      <c r="L24" s="22"/>
      <c r="M24" s="7"/>
      <c r="N24" s="16">
        <f t="shared" si="3"/>
        <v>1167</v>
      </c>
      <c r="O24" s="7"/>
      <c r="P24" s="7"/>
      <c r="Q24" s="7"/>
      <c r="R24" s="7"/>
      <c r="S24" s="16">
        <f t="shared" si="0"/>
        <v>2515.19</v>
      </c>
      <c r="T24" s="7"/>
      <c r="U24" s="7"/>
      <c r="V24" s="7"/>
      <c r="W24" s="7"/>
      <c r="X24" s="16">
        <f t="shared" si="1"/>
        <v>0</v>
      </c>
      <c r="Y24" s="16">
        <f t="shared" si="2"/>
        <v>2515.19</v>
      </c>
    </row>
    <row r="25" spans="1:25" x14ac:dyDescent="0.25">
      <c r="A25" s="6" t="s">
        <v>132</v>
      </c>
      <c r="B25" s="6" t="s">
        <v>62</v>
      </c>
      <c r="C25" s="6" t="s">
        <v>91</v>
      </c>
      <c r="D25" s="7">
        <v>898.79</v>
      </c>
      <c r="E25" s="7"/>
      <c r="F25" s="7"/>
      <c r="G25" s="7"/>
      <c r="H25" s="7">
        <v>660</v>
      </c>
      <c r="I25" s="7">
        <f>726</f>
        <v>726</v>
      </c>
      <c r="J25" s="16"/>
      <c r="K25" s="7">
        <v>320</v>
      </c>
      <c r="L25" s="22"/>
      <c r="M25" s="7"/>
      <c r="N25" s="16">
        <f t="shared" si="3"/>
        <v>1706</v>
      </c>
      <c r="O25" s="16"/>
      <c r="P25" s="7"/>
      <c r="Q25" s="7"/>
      <c r="R25" s="7"/>
      <c r="S25" s="16">
        <f t="shared" si="0"/>
        <v>2604.79</v>
      </c>
      <c r="T25" s="7"/>
      <c r="U25" s="7"/>
      <c r="V25" s="7"/>
      <c r="W25" s="7"/>
      <c r="X25" s="16">
        <f t="shared" si="1"/>
        <v>0</v>
      </c>
      <c r="Y25" s="16">
        <f t="shared" si="2"/>
        <v>2604.79</v>
      </c>
    </row>
    <row r="26" spans="1:25" x14ac:dyDescent="0.25">
      <c r="A26" s="5" t="s">
        <v>107</v>
      </c>
      <c r="B26" s="15" t="s">
        <v>71</v>
      </c>
      <c r="C26" s="6" t="s">
        <v>87</v>
      </c>
      <c r="D26" s="16">
        <v>2798.12</v>
      </c>
      <c r="E26" s="7">
        <f>0.94+4197.18+0.16</f>
        <v>4198.28</v>
      </c>
      <c r="F26" s="7"/>
      <c r="G26" s="7">
        <f>9.62+1.6</f>
        <v>11.219999999999999</v>
      </c>
      <c r="H26" s="7">
        <v>231</v>
      </c>
      <c r="I26" s="7">
        <f>726</f>
        <v>726</v>
      </c>
      <c r="J26" s="7">
        <v>209.86</v>
      </c>
      <c r="K26" s="7">
        <v>51.6</v>
      </c>
      <c r="L26" s="22">
        <v>484.82</v>
      </c>
      <c r="M26" s="7"/>
      <c r="N26" s="16">
        <f t="shared" si="3"/>
        <v>1703.28</v>
      </c>
      <c r="O26" s="7">
        <v>1399.43</v>
      </c>
      <c r="P26" s="7"/>
      <c r="Q26" s="7"/>
      <c r="R26" s="7"/>
      <c r="S26" s="16">
        <f t="shared" si="0"/>
        <v>10110.33</v>
      </c>
      <c r="T26" s="7">
        <f>65.71+502.69</f>
        <v>568.4</v>
      </c>
      <c r="U26" s="7">
        <v>608.44000000000005</v>
      </c>
      <c r="V26" s="7">
        <v>29.15</v>
      </c>
      <c r="W26" s="7">
        <v>51.6</v>
      </c>
      <c r="X26" s="16">
        <f t="shared" si="1"/>
        <v>1257.5900000000001</v>
      </c>
      <c r="Y26" s="16">
        <f t="shared" si="2"/>
        <v>8852.74</v>
      </c>
    </row>
    <row r="27" spans="1:25" x14ac:dyDescent="0.25">
      <c r="A27" s="5" t="s">
        <v>133</v>
      </c>
      <c r="B27" s="6" t="s">
        <v>134</v>
      </c>
      <c r="C27" s="6" t="s">
        <v>91</v>
      </c>
      <c r="D27" s="16">
        <v>9677.56</v>
      </c>
      <c r="E27" s="7"/>
      <c r="F27" s="7"/>
      <c r="G27" s="7"/>
      <c r="H27" s="7">
        <v>660</v>
      </c>
      <c r="I27" s="7">
        <f>726</f>
        <v>726</v>
      </c>
      <c r="J27" s="7">
        <v>290.33</v>
      </c>
      <c r="K27" s="7">
        <v>172</v>
      </c>
      <c r="L27" s="22">
        <v>773.66</v>
      </c>
      <c r="M27" s="7">
        <f>(260*4)+95.33</f>
        <v>1135.33</v>
      </c>
      <c r="N27" s="16">
        <f t="shared" si="3"/>
        <v>3757.3199999999997</v>
      </c>
      <c r="O27" s="7"/>
      <c r="P27" s="7"/>
      <c r="Q27" s="7"/>
      <c r="R27" s="7"/>
      <c r="S27" s="16">
        <f t="shared" si="0"/>
        <v>13434.88</v>
      </c>
      <c r="T27" s="7">
        <v>1624.65</v>
      </c>
      <c r="U27" s="7">
        <v>608.44000000000005</v>
      </c>
      <c r="V27" s="7"/>
      <c r="W27" s="7">
        <v>172</v>
      </c>
      <c r="X27" s="16">
        <f t="shared" si="1"/>
        <v>2405.09</v>
      </c>
      <c r="Y27" s="16">
        <f t="shared" si="2"/>
        <v>11029.789999999999</v>
      </c>
    </row>
    <row r="28" spans="1:25" x14ac:dyDescent="0.25">
      <c r="A28" s="5" t="s">
        <v>126</v>
      </c>
      <c r="B28" s="6" t="s">
        <v>62</v>
      </c>
      <c r="C28" s="6" t="s">
        <v>89</v>
      </c>
      <c r="D28" s="16">
        <v>1348.19</v>
      </c>
      <c r="E28" s="7"/>
      <c r="F28" s="7"/>
      <c r="G28" s="7"/>
      <c r="H28" s="7">
        <v>660</v>
      </c>
      <c r="I28" s="7">
        <f>726</f>
        <v>726</v>
      </c>
      <c r="J28" s="7"/>
      <c r="K28" s="7">
        <v>172</v>
      </c>
      <c r="L28" s="22"/>
      <c r="M28" s="7"/>
      <c r="N28" s="16">
        <f t="shared" si="3"/>
        <v>1558</v>
      </c>
      <c r="O28" s="7"/>
      <c r="P28" s="7"/>
      <c r="Q28" s="7"/>
      <c r="R28" s="7"/>
      <c r="S28" s="16">
        <f t="shared" si="0"/>
        <v>2906.19</v>
      </c>
      <c r="T28" s="7"/>
      <c r="U28" s="7"/>
      <c r="V28" s="7"/>
      <c r="W28" s="7"/>
      <c r="X28" s="16">
        <f t="shared" si="1"/>
        <v>0</v>
      </c>
      <c r="Y28" s="16">
        <f t="shared" si="2"/>
        <v>2906.19</v>
      </c>
    </row>
    <row r="29" spans="1:25" x14ac:dyDescent="0.25">
      <c r="A29" s="11" t="s">
        <v>35</v>
      </c>
      <c r="B29" s="13" t="s">
        <v>59</v>
      </c>
      <c r="C29" s="6" t="s">
        <v>89</v>
      </c>
      <c r="D29" s="16">
        <v>3623.52</v>
      </c>
      <c r="E29" s="7"/>
      <c r="F29" s="7"/>
      <c r="G29" s="7">
        <f>9.96+1.66</f>
        <v>11.620000000000001</v>
      </c>
      <c r="H29" s="7">
        <v>660</v>
      </c>
      <c r="I29" s="7">
        <f>726</f>
        <v>726</v>
      </c>
      <c r="J29" s="7">
        <v>108.71</v>
      </c>
      <c r="K29" s="7">
        <v>484</v>
      </c>
      <c r="L29" s="22"/>
      <c r="M29" s="7"/>
      <c r="N29" s="16">
        <f t="shared" si="3"/>
        <v>1978.71</v>
      </c>
      <c r="O29" s="7"/>
      <c r="P29" s="7"/>
      <c r="Q29" s="7"/>
      <c r="R29" s="7"/>
      <c r="S29" s="16">
        <f t="shared" si="0"/>
        <v>5613.85</v>
      </c>
      <c r="T29" s="7">
        <v>125.01</v>
      </c>
      <c r="U29" s="7">
        <v>395.35</v>
      </c>
      <c r="V29" s="7">
        <v>41.07</v>
      </c>
      <c r="W29" s="7">
        <v>144.94</v>
      </c>
      <c r="X29" s="16">
        <f t="shared" si="1"/>
        <v>706.37000000000012</v>
      </c>
      <c r="Y29" s="16">
        <f t="shared" si="2"/>
        <v>4907.4800000000005</v>
      </c>
    </row>
    <row r="30" spans="1:25" x14ac:dyDescent="0.25">
      <c r="A30" s="5" t="s">
        <v>36</v>
      </c>
      <c r="B30" s="6" t="s">
        <v>67</v>
      </c>
      <c r="C30" s="6" t="s">
        <v>85</v>
      </c>
      <c r="D30" s="16">
        <v>5248.75</v>
      </c>
      <c r="E30" s="7">
        <v>3038.75</v>
      </c>
      <c r="F30" s="7"/>
      <c r="G30" s="7"/>
      <c r="H30" s="7">
        <v>396</v>
      </c>
      <c r="I30" s="7">
        <f>726</f>
        <v>726</v>
      </c>
      <c r="J30" s="7">
        <v>248.63</v>
      </c>
      <c r="K30" s="7"/>
      <c r="L30" s="22">
        <v>390.94</v>
      </c>
      <c r="M30" s="7"/>
      <c r="N30" s="16">
        <f t="shared" si="3"/>
        <v>1761.5700000000002</v>
      </c>
      <c r="O30" s="7">
        <v>1012.92</v>
      </c>
      <c r="P30" s="7"/>
      <c r="Q30" s="7"/>
      <c r="R30" s="7"/>
      <c r="S30" s="16">
        <f t="shared" si="0"/>
        <v>11061.99</v>
      </c>
      <c r="T30" s="7">
        <f>529.29+186.1</f>
        <v>715.39</v>
      </c>
      <c r="U30" s="7">
        <f>162.76+445.68</f>
        <v>608.44000000000005</v>
      </c>
      <c r="V30" s="7">
        <v>12.49</v>
      </c>
      <c r="W30" s="7"/>
      <c r="X30" s="16">
        <f t="shared" si="1"/>
        <v>1336.32</v>
      </c>
      <c r="Y30" s="16">
        <f t="shared" si="2"/>
        <v>9725.67</v>
      </c>
    </row>
    <row r="31" spans="1:25" x14ac:dyDescent="0.25">
      <c r="A31" s="11" t="s">
        <v>119</v>
      </c>
      <c r="B31" s="13" t="s">
        <v>62</v>
      </c>
      <c r="C31" s="6" t="s">
        <v>86</v>
      </c>
      <c r="D31" s="16">
        <v>1183.4100000000001</v>
      </c>
      <c r="E31" s="7"/>
      <c r="F31" s="7"/>
      <c r="G31" s="7"/>
      <c r="H31" s="7">
        <v>660</v>
      </c>
      <c r="I31" s="7">
        <f>726</f>
        <v>726</v>
      </c>
      <c r="J31" s="7"/>
      <c r="K31" s="7">
        <v>144</v>
      </c>
      <c r="L31" s="22"/>
      <c r="M31" s="7"/>
      <c r="N31" s="16">
        <f t="shared" si="3"/>
        <v>1530</v>
      </c>
      <c r="O31" s="7"/>
      <c r="P31" s="7"/>
      <c r="Q31" s="7"/>
      <c r="R31" s="7"/>
      <c r="S31" s="16">
        <f>D31</f>
        <v>1183.4100000000001</v>
      </c>
      <c r="T31" s="7"/>
      <c r="U31" s="7"/>
      <c r="V31" s="7"/>
      <c r="W31" s="7"/>
      <c r="X31" s="16">
        <f t="shared" si="1"/>
        <v>0</v>
      </c>
      <c r="Y31" s="16">
        <f t="shared" si="2"/>
        <v>1183.4100000000001</v>
      </c>
    </row>
    <row r="32" spans="1:25" x14ac:dyDescent="0.25">
      <c r="A32" s="11" t="s">
        <v>120</v>
      </c>
      <c r="B32" s="13" t="s">
        <v>74</v>
      </c>
      <c r="C32" s="6" t="s">
        <v>84</v>
      </c>
      <c r="D32" s="16">
        <v>12709.66</v>
      </c>
      <c r="E32" s="7"/>
      <c r="F32" s="7"/>
      <c r="G32" s="7"/>
      <c r="H32" s="7">
        <v>660</v>
      </c>
      <c r="I32" s="7">
        <f>726</f>
        <v>726</v>
      </c>
      <c r="J32" s="7">
        <v>381.29</v>
      </c>
      <c r="K32" s="7">
        <v>172</v>
      </c>
      <c r="L32" s="22"/>
      <c r="M32" s="7"/>
      <c r="N32" s="16">
        <f t="shared" si="3"/>
        <v>1939.29</v>
      </c>
      <c r="O32" s="7"/>
      <c r="P32" s="7"/>
      <c r="Q32" s="7"/>
      <c r="R32" s="7"/>
      <c r="S32" s="16">
        <f>D32+E32+F32+G32+L32+M32+N32+O32+P32+R32</f>
        <v>14648.95</v>
      </c>
      <c r="T32" s="7">
        <v>2458.48</v>
      </c>
      <c r="U32" s="7">
        <v>608.44000000000005</v>
      </c>
      <c r="V32" s="7"/>
      <c r="W32" s="7">
        <v>172</v>
      </c>
      <c r="X32" s="16">
        <f t="shared" si="1"/>
        <v>3238.92</v>
      </c>
      <c r="Y32" s="16">
        <f t="shared" si="2"/>
        <v>11410.03</v>
      </c>
    </row>
    <row r="33" spans="1:25" x14ac:dyDescent="0.25">
      <c r="A33" s="6" t="s">
        <v>38</v>
      </c>
      <c r="B33" s="6" t="s">
        <v>59</v>
      </c>
      <c r="C33" s="6" t="s">
        <v>89</v>
      </c>
      <c r="D33" s="16">
        <v>3623.52</v>
      </c>
      <c r="E33" s="7"/>
      <c r="F33" s="7"/>
      <c r="G33" s="7"/>
      <c r="H33" s="7">
        <v>660</v>
      </c>
      <c r="I33" s="7">
        <f>726</f>
        <v>726</v>
      </c>
      <c r="J33" s="7">
        <v>108.71</v>
      </c>
      <c r="K33" s="7">
        <v>484</v>
      </c>
      <c r="L33" s="22"/>
      <c r="M33" s="7"/>
      <c r="N33" s="16">
        <f t="shared" si="3"/>
        <v>1978.71</v>
      </c>
      <c r="O33" s="7"/>
      <c r="P33" s="7"/>
      <c r="Q33" s="7"/>
      <c r="R33" s="7"/>
      <c r="S33" s="16">
        <f t="shared" ref="S33:S51" si="4">D33+E33+F33+G33+N33+O33+P33+R33</f>
        <v>5602.23</v>
      </c>
      <c r="T33" s="7">
        <v>128.94</v>
      </c>
      <c r="U33" s="7">
        <v>398.59</v>
      </c>
      <c r="V33" s="7">
        <v>12.49</v>
      </c>
      <c r="W33" s="7">
        <v>144.94</v>
      </c>
      <c r="X33" s="16">
        <f t="shared" si="1"/>
        <v>684.96</v>
      </c>
      <c r="Y33" s="16">
        <f t="shared" si="2"/>
        <v>4917.2699999999995</v>
      </c>
    </row>
    <row r="34" spans="1:25" x14ac:dyDescent="0.25">
      <c r="A34" s="6" t="s">
        <v>39</v>
      </c>
      <c r="B34" s="6" t="s">
        <v>72</v>
      </c>
      <c r="C34" s="6" t="s">
        <v>86</v>
      </c>
      <c r="D34" s="16">
        <v>12709.66</v>
      </c>
      <c r="E34" s="7"/>
      <c r="F34" s="7"/>
      <c r="G34" s="7"/>
      <c r="H34" s="7">
        <v>660</v>
      </c>
      <c r="I34" s="7">
        <f>726</f>
        <v>726</v>
      </c>
      <c r="J34" s="7">
        <v>381.29</v>
      </c>
      <c r="K34" s="7">
        <v>1152.2</v>
      </c>
      <c r="L34" s="22"/>
      <c r="M34" s="7"/>
      <c r="N34" s="16">
        <f t="shared" si="3"/>
        <v>2919.49</v>
      </c>
      <c r="O34" s="7"/>
      <c r="P34" s="7"/>
      <c r="Q34" s="7"/>
      <c r="R34" s="7"/>
      <c r="S34" s="16">
        <f t="shared" si="4"/>
        <v>15629.15</v>
      </c>
      <c r="T34" s="7">
        <v>2458.48</v>
      </c>
      <c r="U34" s="7">
        <v>608.44000000000005</v>
      </c>
      <c r="V34" s="7"/>
      <c r="W34" s="7">
        <v>508.39</v>
      </c>
      <c r="X34" s="16">
        <f t="shared" si="1"/>
        <v>3575.31</v>
      </c>
      <c r="Y34" s="16">
        <f t="shared" si="2"/>
        <v>12053.84</v>
      </c>
    </row>
    <row r="35" spans="1:25" x14ac:dyDescent="0.25">
      <c r="A35" s="6" t="s">
        <v>40</v>
      </c>
      <c r="B35" s="6" t="s">
        <v>73</v>
      </c>
      <c r="C35" s="6" t="s">
        <v>83</v>
      </c>
      <c r="D35" s="16">
        <v>3623.52</v>
      </c>
      <c r="E35" s="7"/>
      <c r="F35" s="7"/>
      <c r="G35" s="7"/>
      <c r="H35" s="7">
        <v>660</v>
      </c>
      <c r="I35" s="7">
        <f>726</f>
        <v>726</v>
      </c>
      <c r="J35" s="7">
        <v>108.71</v>
      </c>
      <c r="K35" s="7">
        <v>340</v>
      </c>
      <c r="L35" s="22">
        <v>431.32</v>
      </c>
      <c r="M35" s="7"/>
      <c r="N35" s="16">
        <f t="shared" si="3"/>
        <v>2266.0300000000002</v>
      </c>
      <c r="O35" s="7"/>
      <c r="P35" s="7"/>
      <c r="Q35" s="7"/>
      <c r="R35" s="7"/>
      <c r="S35" s="16">
        <f t="shared" si="4"/>
        <v>5889.55</v>
      </c>
      <c r="T35" s="7">
        <v>125.31</v>
      </c>
      <c r="U35" s="7">
        <v>395.6</v>
      </c>
      <c r="V35" s="7">
        <v>27.18</v>
      </c>
      <c r="W35" s="7">
        <v>144.94</v>
      </c>
      <c r="X35" s="16">
        <f t="shared" si="1"/>
        <v>693.03</v>
      </c>
      <c r="Y35" s="16">
        <f t="shared" si="2"/>
        <v>5196.5200000000004</v>
      </c>
    </row>
    <row r="36" spans="1:25" x14ac:dyDescent="0.25">
      <c r="A36" s="6" t="s">
        <v>41</v>
      </c>
      <c r="B36" s="6" t="s">
        <v>82</v>
      </c>
      <c r="C36" s="6" t="s">
        <v>82</v>
      </c>
      <c r="D36" s="16">
        <v>645.16999999999996</v>
      </c>
      <c r="E36" s="7">
        <v>9032.39</v>
      </c>
      <c r="F36" s="7"/>
      <c r="G36" s="7"/>
      <c r="H36" s="7">
        <v>33</v>
      </c>
      <c r="I36" s="7">
        <f>726</f>
        <v>726</v>
      </c>
      <c r="J36" s="7">
        <v>290.33</v>
      </c>
      <c r="K36" s="7">
        <v>8.6</v>
      </c>
      <c r="L36" s="16">
        <v>1517.67</v>
      </c>
      <c r="M36" s="7"/>
      <c r="N36" s="16">
        <f t="shared" si="3"/>
        <v>2575.6</v>
      </c>
      <c r="O36" s="7">
        <v>3010.79</v>
      </c>
      <c r="P36" s="7"/>
      <c r="Q36" s="7"/>
      <c r="R36" s="7"/>
      <c r="S36" s="16">
        <f t="shared" si="4"/>
        <v>15263.95</v>
      </c>
      <c r="T36" s="7">
        <v>2511.7600000000002</v>
      </c>
      <c r="U36" s="7">
        <v>608.44000000000005</v>
      </c>
      <c r="V36" s="7"/>
      <c r="W36" s="7">
        <v>8.6</v>
      </c>
      <c r="X36" s="16">
        <f t="shared" si="1"/>
        <v>3128.8</v>
      </c>
      <c r="Y36" s="16">
        <f t="shared" si="2"/>
        <v>12135.150000000001</v>
      </c>
    </row>
    <row r="37" spans="1:25" x14ac:dyDescent="0.25">
      <c r="A37" s="5" t="s">
        <v>106</v>
      </c>
      <c r="B37" s="6" t="s">
        <v>62</v>
      </c>
      <c r="C37" s="6" t="s">
        <v>91</v>
      </c>
      <c r="D37" s="16">
        <v>1303.25</v>
      </c>
      <c r="E37" s="7">
        <v>359.52</v>
      </c>
      <c r="F37" s="7"/>
      <c r="G37" s="7"/>
      <c r="H37" s="7">
        <v>660</v>
      </c>
      <c r="I37" s="7">
        <f>726</f>
        <v>726</v>
      </c>
      <c r="J37" s="7"/>
      <c r="K37" s="7">
        <v>144</v>
      </c>
      <c r="L37" s="22"/>
      <c r="M37" s="7"/>
      <c r="N37" s="16">
        <f t="shared" si="3"/>
        <v>1530</v>
      </c>
      <c r="O37" s="7"/>
      <c r="P37" s="7"/>
      <c r="Q37" s="7"/>
      <c r="R37" s="7"/>
      <c r="S37" s="16">
        <f t="shared" si="4"/>
        <v>3192.77</v>
      </c>
      <c r="T37" s="7"/>
      <c r="U37" s="7"/>
      <c r="V37" s="7"/>
      <c r="W37" s="7"/>
      <c r="X37" s="16">
        <f t="shared" si="1"/>
        <v>0</v>
      </c>
      <c r="Y37" s="16">
        <f t="shared" si="2"/>
        <v>3192.77</v>
      </c>
    </row>
    <row r="38" spans="1:25" x14ac:dyDescent="0.25">
      <c r="A38" s="6" t="s">
        <v>43</v>
      </c>
      <c r="B38" s="6" t="s">
        <v>76</v>
      </c>
      <c r="C38" s="6" t="s">
        <v>91</v>
      </c>
      <c r="D38" s="16">
        <v>6995.3</v>
      </c>
      <c r="E38" s="7"/>
      <c r="F38" s="7"/>
      <c r="G38" s="7">
        <f>83.94+13.99</f>
        <v>97.929999999999993</v>
      </c>
      <c r="H38" s="7">
        <v>660</v>
      </c>
      <c r="I38" s="7">
        <f>726</f>
        <v>726</v>
      </c>
      <c r="J38" s="7">
        <v>209.86</v>
      </c>
      <c r="K38" s="7">
        <v>172</v>
      </c>
      <c r="L38" s="22"/>
      <c r="M38" s="7"/>
      <c r="N38" s="16">
        <f t="shared" si="3"/>
        <v>1767.8600000000001</v>
      </c>
      <c r="O38" s="7"/>
      <c r="P38" s="7">
        <v>139.91</v>
      </c>
      <c r="Q38" s="7"/>
      <c r="R38" s="7"/>
      <c r="S38" s="16">
        <f t="shared" si="4"/>
        <v>9001</v>
      </c>
      <c r="T38" s="7">
        <v>948.74</v>
      </c>
      <c r="U38" s="7">
        <v>608.44000000000005</v>
      </c>
      <c r="V38" s="7">
        <v>13.41</v>
      </c>
      <c r="W38" s="7">
        <v>172</v>
      </c>
      <c r="X38" s="16">
        <f t="shared" si="1"/>
        <v>1742.5900000000001</v>
      </c>
      <c r="Y38" s="16">
        <f t="shared" si="2"/>
        <v>7258.41</v>
      </c>
    </row>
    <row r="39" spans="1:25" x14ac:dyDescent="0.25">
      <c r="A39" s="6" t="s">
        <v>44</v>
      </c>
      <c r="B39" s="6" t="s">
        <v>70</v>
      </c>
      <c r="C39" s="6" t="s">
        <v>90</v>
      </c>
      <c r="D39" s="16">
        <v>3623.52</v>
      </c>
      <c r="E39" s="7"/>
      <c r="F39" s="7"/>
      <c r="G39" s="7">
        <f>48.01+8</f>
        <v>56.01</v>
      </c>
      <c r="H39" s="7">
        <v>660</v>
      </c>
      <c r="I39" s="7">
        <f>726</f>
        <v>726</v>
      </c>
      <c r="J39" s="7">
        <v>108.71</v>
      </c>
      <c r="K39" s="7">
        <v>316</v>
      </c>
      <c r="L39" s="22">
        <v>440.74</v>
      </c>
      <c r="M39" s="7"/>
      <c r="N39" s="16">
        <f t="shared" si="3"/>
        <v>2251.4499999999998</v>
      </c>
      <c r="O39" s="7"/>
      <c r="P39" s="7"/>
      <c r="Q39" s="7"/>
      <c r="R39" s="7"/>
      <c r="S39" s="16">
        <f t="shared" si="4"/>
        <v>5930.98</v>
      </c>
      <c r="T39" s="7">
        <v>136.41999999999999</v>
      </c>
      <c r="U39" s="7">
        <v>404.75</v>
      </c>
      <c r="V39" s="7">
        <v>12.49</v>
      </c>
      <c r="W39" s="7">
        <v>144.94</v>
      </c>
      <c r="X39" s="16">
        <f t="shared" si="1"/>
        <v>698.59999999999991</v>
      </c>
      <c r="Y39" s="16">
        <f t="shared" si="2"/>
        <v>5232.3799999999992</v>
      </c>
    </row>
    <row r="40" spans="1:25" x14ac:dyDescent="0.25">
      <c r="A40" s="5" t="s">
        <v>45</v>
      </c>
      <c r="B40" s="6" t="s">
        <v>58</v>
      </c>
      <c r="C40" s="6" t="s">
        <v>81</v>
      </c>
      <c r="D40" s="16">
        <v>3623.52</v>
      </c>
      <c r="E40" s="7"/>
      <c r="F40" s="7"/>
      <c r="G40" s="7"/>
      <c r="H40" s="7">
        <v>660</v>
      </c>
      <c r="I40" s="7">
        <f>726</f>
        <v>726</v>
      </c>
      <c r="J40" s="7">
        <v>108.71</v>
      </c>
      <c r="K40" s="7">
        <v>392</v>
      </c>
      <c r="L40" s="22">
        <v>386.21</v>
      </c>
      <c r="M40" s="7"/>
      <c r="N40" s="16">
        <f t="shared" si="3"/>
        <v>2272.92</v>
      </c>
      <c r="O40" s="10"/>
      <c r="P40" s="7"/>
      <c r="Q40" s="7"/>
      <c r="R40" s="7"/>
      <c r="S40" s="16">
        <f t="shared" si="4"/>
        <v>5896.4400000000005</v>
      </c>
      <c r="T40" s="7">
        <v>109.67</v>
      </c>
      <c r="U40" s="7">
        <v>382.71</v>
      </c>
      <c r="V40" s="7">
        <f>36.24+144.34</f>
        <v>180.58</v>
      </c>
      <c r="W40" s="7">
        <v>144.94</v>
      </c>
      <c r="X40" s="16">
        <f t="shared" si="1"/>
        <v>817.90000000000009</v>
      </c>
      <c r="Y40" s="16">
        <f t="shared" si="2"/>
        <v>5078.5400000000009</v>
      </c>
    </row>
    <row r="41" spans="1:25" x14ac:dyDescent="0.25">
      <c r="A41" s="6" t="s">
        <v>46</v>
      </c>
      <c r="B41" s="6" t="s">
        <v>58</v>
      </c>
      <c r="C41" s="6" t="s">
        <v>81</v>
      </c>
      <c r="D41" s="16">
        <v>2294.9</v>
      </c>
      <c r="E41" s="7">
        <f>7.25+31.59+1328.62+616.26+1.21+54.86+14.41</f>
        <v>2054.1999999999998</v>
      </c>
      <c r="F41" s="7"/>
      <c r="G41" s="7"/>
      <c r="H41" s="7">
        <v>363</v>
      </c>
      <c r="I41" s="7">
        <f>726</f>
        <v>726</v>
      </c>
      <c r="J41" s="7">
        <v>159.13</v>
      </c>
      <c r="K41" s="7">
        <v>94.6</v>
      </c>
      <c r="L41" s="22">
        <v>319.54000000000002</v>
      </c>
      <c r="M41" s="7"/>
      <c r="N41" s="16">
        <f t="shared" si="3"/>
        <v>1662.27</v>
      </c>
      <c r="O41" s="7">
        <v>684.73</v>
      </c>
      <c r="P41" s="7"/>
      <c r="Q41" s="7"/>
      <c r="R41" s="7">
        <v>1064.44</v>
      </c>
      <c r="S41" s="16">
        <f t="shared" si="4"/>
        <v>7760.5400000000009</v>
      </c>
      <c r="T41" s="7">
        <f>94.81+44.13</f>
        <v>138.94</v>
      </c>
      <c r="U41" s="7">
        <f>361.94+246.5</f>
        <v>608.44000000000005</v>
      </c>
      <c r="V41" s="7">
        <f>22.95+12.49</f>
        <v>35.44</v>
      </c>
      <c r="W41" s="7">
        <v>79.72</v>
      </c>
      <c r="X41" s="16">
        <f t="shared" si="1"/>
        <v>862.54000000000019</v>
      </c>
      <c r="Y41" s="16">
        <f t="shared" si="2"/>
        <v>6898.0000000000009</v>
      </c>
    </row>
    <row r="42" spans="1:25" x14ac:dyDescent="0.25">
      <c r="A42" s="5" t="s">
        <v>104</v>
      </c>
      <c r="B42" s="6" t="s">
        <v>59</v>
      </c>
      <c r="C42" s="6" t="s">
        <v>89</v>
      </c>
      <c r="D42" s="16">
        <v>3623.52</v>
      </c>
      <c r="E42" s="7"/>
      <c r="F42" s="7"/>
      <c r="G42" s="7">
        <f>16.76+2.79</f>
        <v>19.55</v>
      </c>
      <c r="H42" s="7">
        <v>660</v>
      </c>
      <c r="I42" s="7">
        <f>726</f>
        <v>726</v>
      </c>
      <c r="J42" s="7">
        <v>108.71</v>
      </c>
      <c r="K42" s="7">
        <v>392</v>
      </c>
      <c r="L42" s="22">
        <v>419.03</v>
      </c>
      <c r="M42" s="7"/>
      <c r="N42" s="16">
        <f t="shared" si="3"/>
        <v>2305.7399999999998</v>
      </c>
      <c r="O42" s="7"/>
      <c r="P42" s="7"/>
      <c r="Q42" s="7"/>
      <c r="R42" s="7"/>
      <c r="S42" s="16">
        <f t="shared" si="4"/>
        <v>5948.8099999999995</v>
      </c>
      <c r="T42" s="7">
        <v>121.03</v>
      </c>
      <c r="U42" s="7">
        <v>392.07</v>
      </c>
      <c r="V42" s="7">
        <f>78.81+12.49</f>
        <v>91.3</v>
      </c>
      <c r="W42" s="7">
        <v>144.94</v>
      </c>
      <c r="X42" s="16">
        <f t="shared" si="1"/>
        <v>749.33999999999992</v>
      </c>
      <c r="Y42" s="16">
        <f t="shared" si="2"/>
        <v>5199.4699999999993</v>
      </c>
    </row>
    <row r="43" spans="1:25" x14ac:dyDescent="0.25">
      <c r="A43" s="6" t="s">
        <v>112</v>
      </c>
      <c r="B43" s="6" t="s">
        <v>66</v>
      </c>
      <c r="C43" s="6" t="s">
        <v>86</v>
      </c>
      <c r="D43" s="16">
        <v>8287.5</v>
      </c>
      <c r="E43" s="7"/>
      <c r="F43" s="7"/>
      <c r="G43" s="7"/>
      <c r="H43" s="7">
        <v>660</v>
      </c>
      <c r="I43" s="7">
        <f>726</f>
        <v>726</v>
      </c>
      <c r="J43" s="7">
        <v>248.63</v>
      </c>
      <c r="K43" s="7">
        <v>392</v>
      </c>
      <c r="L43" s="26">
        <f>429.85+51.24+51.24</f>
        <v>532.33000000000004</v>
      </c>
      <c r="M43" s="7">
        <f>260*2</f>
        <v>520</v>
      </c>
      <c r="N43" s="16">
        <f t="shared" si="3"/>
        <v>3078.96</v>
      </c>
      <c r="O43" s="7"/>
      <c r="P43" s="7">
        <v>276.25</v>
      </c>
      <c r="Q43" s="7"/>
      <c r="R43" s="7"/>
      <c r="S43" s="16">
        <f t="shared" si="4"/>
        <v>11642.71</v>
      </c>
      <c r="T43" s="7">
        <v>1237.1500000000001</v>
      </c>
      <c r="U43" s="7">
        <v>608.44000000000005</v>
      </c>
      <c r="V43" s="7">
        <v>105.67</v>
      </c>
      <c r="W43" s="7">
        <v>331.5</v>
      </c>
      <c r="X43" s="16">
        <f t="shared" si="1"/>
        <v>2282.7600000000002</v>
      </c>
      <c r="Y43" s="16">
        <f t="shared" si="2"/>
        <v>9359.9499999999989</v>
      </c>
    </row>
    <row r="44" spans="1:25" x14ac:dyDescent="0.25">
      <c r="A44" s="5" t="s">
        <v>47</v>
      </c>
      <c r="B44" s="6" t="s">
        <v>66</v>
      </c>
      <c r="C44" s="6" t="s">
        <v>86</v>
      </c>
      <c r="D44" s="16">
        <v>8287.5</v>
      </c>
      <c r="E44" s="7"/>
      <c r="F44" s="7"/>
      <c r="G44" s="7">
        <f>216.51+36.09</f>
        <v>252.6</v>
      </c>
      <c r="H44" s="7">
        <v>660</v>
      </c>
      <c r="I44" s="7">
        <f>726</f>
        <v>726</v>
      </c>
      <c r="J44" s="7">
        <v>248.63</v>
      </c>
      <c r="K44" s="7"/>
      <c r="L44" s="26">
        <v>431.32</v>
      </c>
      <c r="M44" s="7"/>
      <c r="N44" s="16">
        <f t="shared" si="3"/>
        <v>2065.9500000000003</v>
      </c>
      <c r="O44" s="7"/>
      <c r="P44" s="7"/>
      <c r="Q44" s="7"/>
      <c r="R44" s="7"/>
      <c r="S44" s="16">
        <f t="shared" si="4"/>
        <v>10606.050000000001</v>
      </c>
      <c r="T44" s="7">
        <v>1311.85</v>
      </c>
      <c r="U44" s="7">
        <v>608.44000000000005</v>
      </c>
      <c r="V44" s="7"/>
      <c r="W44" s="7"/>
      <c r="X44" s="16">
        <f t="shared" si="1"/>
        <v>1920.29</v>
      </c>
      <c r="Y44" s="16">
        <f t="shared" si="2"/>
        <v>8685.760000000002</v>
      </c>
    </row>
    <row r="45" spans="1:25" x14ac:dyDescent="0.25">
      <c r="A45" s="5" t="s">
        <v>48</v>
      </c>
      <c r="B45" s="6" t="s">
        <v>66</v>
      </c>
      <c r="C45" s="6" t="s">
        <v>85</v>
      </c>
      <c r="D45" s="16">
        <v>8287.5</v>
      </c>
      <c r="E45" s="7"/>
      <c r="F45" s="7"/>
      <c r="G45" s="7"/>
      <c r="H45" s="7">
        <v>660</v>
      </c>
      <c r="I45" s="7">
        <f>726</f>
        <v>726</v>
      </c>
      <c r="J45" s="7">
        <v>248.63</v>
      </c>
      <c r="K45" s="7"/>
      <c r="L45" s="22">
        <v>358.05</v>
      </c>
      <c r="M45" s="7"/>
      <c r="N45" s="16">
        <f t="shared" si="3"/>
        <v>1992.68</v>
      </c>
      <c r="O45" s="7"/>
      <c r="P45" s="7"/>
      <c r="Q45" s="7"/>
      <c r="R45" s="7"/>
      <c r="S45" s="16">
        <f t="shared" si="4"/>
        <v>10280.18</v>
      </c>
      <c r="T45" s="7">
        <v>1225.29</v>
      </c>
      <c r="U45" s="7">
        <v>608.44000000000005</v>
      </c>
      <c r="V45" s="7">
        <f>12.49+62.16</f>
        <v>74.649999999999991</v>
      </c>
      <c r="W45" s="7"/>
      <c r="X45" s="16">
        <f t="shared" si="1"/>
        <v>1908.38</v>
      </c>
      <c r="Y45" s="16">
        <f t="shared" si="2"/>
        <v>8371.7999999999993</v>
      </c>
    </row>
    <row r="46" spans="1:25" x14ac:dyDescent="0.25">
      <c r="A46" s="5" t="s">
        <v>49</v>
      </c>
      <c r="B46" s="6" t="s">
        <v>58</v>
      </c>
      <c r="C46" s="6" t="s">
        <v>81</v>
      </c>
      <c r="D46" s="16">
        <v>3623.52</v>
      </c>
      <c r="E46" s="7"/>
      <c r="F46" s="7"/>
      <c r="G46" s="7">
        <f>61.6+10.27</f>
        <v>71.87</v>
      </c>
      <c r="H46" s="7">
        <v>660</v>
      </c>
      <c r="I46" s="7">
        <f>726</f>
        <v>726</v>
      </c>
      <c r="J46" s="7">
        <v>108.71</v>
      </c>
      <c r="K46" s="7">
        <v>484</v>
      </c>
      <c r="L46" s="22">
        <v>507.74</v>
      </c>
      <c r="M46" s="7"/>
      <c r="N46" s="16">
        <f t="shared" si="3"/>
        <v>2486.4499999999998</v>
      </c>
      <c r="O46" s="7"/>
      <c r="P46" s="7"/>
      <c r="Q46" s="7"/>
      <c r="R46" s="7"/>
      <c r="S46" s="16">
        <f t="shared" si="4"/>
        <v>6181.84</v>
      </c>
      <c r="T46" s="7">
        <v>79.64</v>
      </c>
      <c r="U46" s="7">
        <v>404.83</v>
      </c>
      <c r="V46" s="7">
        <f>15.1+36.24+37.47</f>
        <v>88.81</v>
      </c>
      <c r="W46" s="7">
        <v>144.94</v>
      </c>
      <c r="X46" s="16">
        <f t="shared" si="1"/>
        <v>718.22</v>
      </c>
      <c r="Y46" s="16">
        <f t="shared" si="2"/>
        <v>5463.62</v>
      </c>
    </row>
    <row r="47" spans="1:25" x14ac:dyDescent="0.25">
      <c r="A47" s="5" t="s">
        <v>50</v>
      </c>
      <c r="B47" s="6" t="s">
        <v>122</v>
      </c>
      <c r="C47" s="6" t="s">
        <v>85</v>
      </c>
      <c r="D47" s="16">
        <v>8287.5</v>
      </c>
      <c r="E47" s="7"/>
      <c r="F47" s="7"/>
      <c r="G47" s="7"/>
      <c r="H47" s="7">
        <v>660</v>
      </c>
      <c r="I47" s="7">
        <f>726</f>
        <v>726</v>
      </c>
      <c r="J47" s="7">
        <v>381.29</v>
      </c>
      <c r="K47" s="7">
        <v>172</v>
      </c>
      <c r="L47" s="22"/>
      <c r="M47" s="7"/>
      <c r="N47" s="16">
        <f t="shared" si="3"/>
        <v>1939.29</v>
      </c>
      <c r="O47" s="7"/>
      <c r="P47" s="7"/>
      <c r="Q47" s="7"/>
      <c r="R47" s="7">
        <v>4422.16</v>
      </c>
      <c r="S47" s="16">
        <f t="shared" si="4"/>
        <v>14648.95</v>
      </c>
      <c r="T47" s="7">
        <v>2458.48</v>
      </c>
      <c r="U47" s="7">
        <v>608.44000000000005</v>
      </c>
      <c r="V47" s="7"/>
      <c r="W47" s="7">
        <v>172</v>
      </c>
      <c r="X47" s="16">
        <f t="shared" si="1"/>
        <v>3238.92</v>
      </c>
      <c r="Y47" s="16">
        <f t="shared" si="2"/>
        <v>11410.03</v>
      </c>
    </row>
    <row r="48" spans="1:25" x14ac:dyDescent="0.25">
      <c r="A48" s="5" t="s">
        <v>51</v>
      </c>
      <c r="B48" s="6" t="s">
        <v>77</v>
      </c>
      <c r="C48" s="6" t="s">
        <v>83</v>
      </c>
      <c r="D48" s="16">
        <v>6995.3</v>
      </c>
      <c r="E48" s="7"/>
      <c r="F48" s="7"/>
      <c r="G48" s="7">
        <f>75.2+12.53</f>
        <v>87.73</v>
      </c>
      <c r="H48" s="7">
        <v>660</v>
      </c>
      <c r="I48" s="7">
        <f>726</f>
        <v>726</v>
      </c>
      <c r="J48" s="7">
        <v>209.86</v>
      </c>
      <c r="K48" s="7">
        <v>144</v>
      </c>
      <c r="L48" s="26">
        <v>431.32</v>
      </c>
      <c r="M48" s="7"/>
      <c r="N48" s="16">
        <f t="shared" si="3"/>
        <v>2171.1800000000003</v>
      </c>
      <c r="O48" s="7"/>
      <c r="P48" s="7"/>
      <c r="Q48" s="7"/>
      <c r="R48" s="7">
        <v>5714.36</v>
      </c>
      <c r="S48" s="16">
        <f t="shared" si="4"/>
        <v>14968.57</v>
      </c>
      <c r="T48" s="7">
        <v>2468.4899999999998</v>
      </c>
      <c r="U48" s="7">
        <v>608.44000000000005</v>
      </c>
      <c r="V48" s="7">
        <v>51.3</v>
      </c>
      <c r="W48" s="7">
        <v>144</v>
      </c>
      <c r="X48" s="16">
        <f t="shared" si="1"/>
        <v>3272.23</v>
      </c>
      <c r="Y48" s="16">
        <f t="shared" si="2"/>
        <v>11696.34</v>
      </c>
    </row>
    <row r="49" spans="1:25" x14ac:dyDescent="0.25">
      <c r="A49" s="6" t="s">
        <v>53</v>
      </c>
      <c r="B49" s="6" t="s">
        <v>73</v>
      </c>
      <c r="C49" s="6" t="s">
        <v>83</v>
      </c>
      <c r="D49" s="16">
        <v>3623.52</v>
      </c>
      <c r="E49" s="7"/>
      <c r="F49" s="7"/>
      <c r="G49" s="7"/>
      <c r="H49" s="7">
        <v>660</v>
      </c>
      <c r="I49" s="7">
        <f>726</f>
        <v>726</v>
      </c>
      <c r="J49" s="7">
        <v>108.71</v>
      </c>
      <c r="K49" s="7">
        <v>574</v>
      </c>
      <c r="L49" s="22">
        <v>457.13</v>
      </c>
      <c r="M49" s="7"/>
      <c r="N49" s="16">
        <f t="shared" si="3"/>
        <v>2525.84</v>
      </c>
      <c r="O49" s="7"/>
      <c r="P49" s="7"/>
      <c r="Q49" s="7"/>
      <c r="R49" s="7"/>
      <c r="S49" s="16">
        <f t="shared" si="4"/>
        <v>6149.3600000000006</v>
      </c>
      <c r="T49" s="7">
        <v>124.14</v>
      </c>
      <c r="U49" s="7">
        <v>394.63</v>
      </c>
      <c r="V49" s="7">
        <f>35.93+36.24</f>
        <v>72.17</v>
      </c>
      <c r="W49" s="7">
        <v>144.94</v>
      </c>
      <c r="X49" s="16">
        <f t="shared" si="1"/>
        <v>735.87999999999988</v>
      </c>
      <c r="Y49" s="16">
        <f t="shared" si="2"/>
        <v>5413.4800000000005</v>
      </c>
    </row>
    <row r="50" spans="1:25" x14ac:dyDescent="0.25">
      <c r="A50" s="6" t="s">
        <v>54</v>
      </c>
      <c r="B50" s="6" t="s">
        <v>79</v>
      </c>
      <c r="C50" s="6" t="s">
        <v>87</v>
      </c>
      <c r="D50" s="16">
        <v>6995.3</v>
      </c>
      <c r="E50" s="7"/>
      <c r="F50" s="7"/>
      <c r="G50" s="7"/>
      <c r="H50" s="7">
        <v>660</v>
      </c>
      <c r="I50" s="7">
        <f>726</f>
        <v>726</v>
      </c>
      <c r="J50" s="7">
        <v>209.86</v>
      </c>
      <c r="K50" s="7">
        <v>172</v>
      </c>
      <c r="L50" s="22">
        <v>363.11</v>
      </c>
      <c r="M50" s="7"/>
      <c r="N50" s="16">
        <f t="shared" si="3"/>
        <v>2130.9700000000003</v>
      </c>
      <c r="O50" s="7"/>
      <c r="P50" s="7"/>
      <c r="Q50" s="7"/>
      <c r="R50" s="7"/>
      <c r="S50" s="16">
        <f t="shared" si="4"/>
        <v>9126.27</v>
      </c>
      <c r="T50" s="7">
        <v>887.03</v>
      </c>
      <c r="U50" s="7">
        <v>608.44000000000005</v>
      </c>
      <c r="V50" s="7"/>
      <c r="W50" s="7">
        <v>172</v>
      </c>
      <c r="X50" s="16">
        <f t="shared" si="1"/>
        <v>1667.47</v>
      </c>
      <c r="Y50" s="16">
        <f t="shared" si="2"/>
        <v>7458.8</v>
      </c>
    </row>
    <row r="51" spans="1:25" x14ac:dyDescent="0.25">
      <c r="A51" s="5" t="s">
        <v>111</v>
      </c>
      <c r="B51" s="6" t="s">
        <v>62</v>
      </c>
      <c r="C51" s="6" t="s">
        <v>85</v>
      </c>
      <c r="D51" s="16">
        <v>1348.19</v>
      </c>
      <c r="E51" s="7"/>
      <c r="F51" s="7"/>
      <c r="G51" s="7"/>
      <c r="H51" s="7">
        <v>660</v>
      </c>
      <c r="I51" s="7">
        <f>726</f>
        <v>726</v>
      </c>
      <c r="J51" s="7"/>
      <c r="K51" s="7">
        <v>320</v>
      </c>
      <c r="L51" s="22"/>
      <c r="M51" s="7"/>
      <c r="N51" s="16">
        <f t="shared" si="3"/>
        <v>1706</v>
      </c>
      <c r="O51" s="7"/>
      <c r="P51" s="7"/>
      <c r="Q51" s="7"/>
      <c r="R51" s="7"/>
      <c r="S51" s="16">
        <f t="shared" si="4"/>
        <v>3054.19</v>
      </c>
      <c r="T51" s="7"/>
      <c r="U51" s="7"/>
      <c r="V51" s="7"/>
      <c r="W51" s="7"/>
      <c r="X51" s="16">
        <f t="shared" si="1"/>
        <v>0</v>
      </c>
      <c r="Y51" s="16">
        <f t="shared" si="2"/>
        <v>3054.19</v>
      </c>
    </row>
    <row r="52" spans="1:25" x14ac:dyDescent="0.25">
      <c r="A52" s="5" t="s">
        <v>55</v>
      </c>
      <c r="B52" s="6" t="s">
        <v>58</v>
      </c>
      <c r="C52" s="6" t="s">
        <v>85</v>
      </c>
      <c r="D52" s="16">
        <v>1811.76</v>
      </c>
      <c r="E52" s="7">
        <f>0.23+1811.76+0.04</f>
        <v>1812.03</v>
      </c>
      <c r="F52" s="7"/>
      <c r="G52" s="7"/>
      <c r="H52" s="7">
        <v>297</v>
      </c>
      <c r="I52" s="7">
        <f>726</f>
        <v>726</v>
      </c>
      <c r="J52" s="7">
        <v>108.71</v>
      </c>
      <c r="K52" s="7">
        <v>314.10000000000002</v>
      </c>
      <c r="L52" s="22">
        <v>417.19</v>
      </c>
      <c r="M52" s="7"/>
      <c r="N52" s="16">
        <f t="shared" si="3"/>
        <v>1863</v>
      </c>
      <c r="O52" s="7">
        <v>604.01</v>
      </c>
      <c r="P52" s="7"/>
      <c r="Q52" s="7"/>
      <c r="R52" s="7"/>
      <c r="S52" s="16">
        <f>D52+E52+F52+G52+N52+O52+P52+R52+Q52</f>
        <v>6090.8</v>
      </c>
      <c r="T52" s="7">
        <v>22.1</v>
      </c>
      <c r="U52" s="7">
        <f>247.62+217.44</f>
        <v>465.06</v>
      </c>
      <c r="V52" s="7">
        <f>18.12+12.49</f>
        <v>30.61</v>
      </c>
      <c r="W52" s="7">
        <v>65.22</v>
      </c>
      <c r="X52" s="16">
        <f t="shared" si="1"/>
        <v>582.99</v>
      </c>
      <c r="Y52" s="16">
        <f t="shared" si="2"/>
        <v>5507.81</v>
      </c>
    </row>
    <row r="53" spans="1:25" x14ac:dyDescent="0.25">
      <c r="A53" s="6" t="s">
        <v>56</v>
      </c>
      <c r="B53" s="6" t="s">
        <v>121</v>
      </c>
      <c r="C53" s="6" t="s">
        <v>89</v>
      </c>
      <c r="D53" s="16">
        <v>6995.3</v>
      </c>
      <c r="E53" s="7"/>
      <c r="F53" s="7"/>
      <c r="G53" s="7"/>
      <c r="H53" s="7">
        <v>660</v>
      </c>
      <c r="I53" s="7">
        <f>726</f>
        <v>726</v>
      </c>
      <c r="J53" s="7">
        <v>381.29</v>
      </c>
      <c r="K53" s="7"/>
      <c r="L53" s="22"/>
      <c r="M53" s="7"/>
      <c r="N53" s="16">
        <f t="shared" si="3"/>
        <v>1767.29</v>
      </c>
      <c r="O53" s="7"/>
      <c r="P53" s="7"/>
      <c r="Q53" s="7"/>
      <c r="R53" s="7">
        <v>5714.36</v>
      </c>
      <c r="S53" s="16">
        <f>D53+E53+F53+G53+N53+O53+P53+R53</f>
        <v>14476.95</v>
      </c>
      <c r="T53" s="7">
        <v>2458.48</v>
      </c>
      <c r="U53" s="16">
        <v>608.44000000000005</v>
      </c>
      <c r="V53" s="16"/>
      <c r="W53" s="16"/>
      <c r="X53" s="16">
        <f t="shared" si="1"/>
        <v>3066.92</v>
      </c>
      <c r="Y53" s="16">
        <f t="shared" si="2"/>
        <v>11410.03</v>
      </c>
    </row>
    <row r="54" spans="1:25" x14ac:dyDescent="0.25">
      <c r="A54" s="5" t="s">
        <v>127</v>
      </c>
      <c r="B54" s="6" t="s">
        <v>62</v>
      </c>
      <c r="C54" s="6" t="s">
        <v>87</v>
      </c>
      <c r="D54" s="16">
        <v>359.52</v>
      </c>
      <c r="E54" s="7">
        <v>134.82</v>
      </c>
      <c r="F54" s="7"/>
      <c r="G54" s="7"/>
      <c r="H54" s="7">
        <v>297</v>
      </c>
      <c r="I54" s="7">
        <f>726</f>
        <v>726</v>
      </c>
      <c r="J54" s="7"/>
      <c r="K54" s="7">
        <v>144</v>
      </c>
      <c r="L54" s="22"/>
      <c r="M54" s="7"/>
      <c r="N54" s="16">
        <f t="shared" si="3"/>
        <v>1167</v>
      </c>
      <c r="O54" s="7"/>
      <c r="P54" s="7"/>
      <c r="Q54" s="7"/>
      <c r="R54" s="7"/>
      <c r="S54" s="16">
        <f>D54+E54+F54+G54+N54+O54+P54+R54</f>
        <v>1661.34</v>
      </c>
      <c r="T54" s="7"/>
      <c r="U54" s="7"/>
      <c r="V54" s="7"/>
      <c r="W54" s="7">
        <v>224</v>
      </c>
      <c r="X54" s="16">
        <f t="shared" si="1"/>
        <v>224</v>
      </c>
      <c r="Y54" s="16">
        <f t="shared" si="2"/>
        <v>1437.34</v>
      </c>
    </row>
    <row r="55" spans="1:25" hidden="1" x14ac:dyDescent="0.25">
      <c r="H55" s="1">
        <f>SUM(H5:H54)</f>
        <v>29700</v>
      </c>
      <c r="I55" s="1">
        <f t="shared" ref="I55:J55" si="5">SUM(I5:I54)</f>
        <v>36300</v>
      </c>
      <c r="J55" s="1">
        <f t="shared" si="5"/>
        <v>8536.83</v>
      </c>
      <c r="K55" s="1">
        <f>SUM(K5:K54)</f>
        <v>10643.7</v>
      </c>
      <c r="L55" s="1">
        <f>SUM(L5:L54)</f>
        <v>13276.339999999997</v>
      </c>
      <c r="M55" s="1"/>
      <c r="N55" s="1"/>
      <c r="S55" s="3"/>
      <c r="Y55" s="1">
        <f>SUM(Y5:Y54)</f>
        <v>337975.39000000007</v>
      </c>
    </row>
    <row r="56" spans="1:25" x14ac:dyDescent="0.25">
      <c r="H56" s="1"/>
      <c r="I56" s="1"/>
      <c r="J56" s="1"/>
      <c r="K56" s="1"/>
      <c r="L56" s="1"/>
      <c r="M56" s="1"/>
      <c r="N56" s="1"/>
      <c r="S56" s="3"/>
      <c r="Y56" s="1"/>
    </row>
    <row r="57" spans="1:25" x14ac:dyDescent="0.25">
      <c r="S57" s="3"/>
    </row>
    <row r="58" spans="1:25" ht="19.5" x14ac:dyDescent="0.3">
      <c r="A58" s="17" t="s">
        <v>146</v>
      </c>
      <c r="S58" s="3"/>
    </row>
    <row r="59" spans="1:25" ht="19.5" x14ac:dyDescent="0.25">
      <c r="A59" s="20" t="s">
        <v>0</v>
      </c>
      <c r="B59" s="21" t="s">
        <v>1</v>
      </c>
      <c r="C59" s="21" t="s">
        <v>2</v>
      </c>
      <c r="D59" s="21" t="s">
        <v>98</v>
      </c>
      <c r="E59" s="21" t="s">
        <v>97</v>
      </c>
      <c r="F59" s="21" t="s">
        <v>10</v>
      </c>
      <c r="G59" s="20" t="s">
        <v>11</v>
      </c>
      <c r="H59" s="18"/>
      <c r="I59" s="18"/>
      <c r="J59" s="18"/>
      <c r="K59" s="18"/>
      <c r="L59" s="18"/>
      <c r="M59" s="18"/>
      <c r="N59" s="21" t="s">
        <v>96</v>
      </c>
      <c r="O59" s="19"/>
      <c r="P59" s="19"/>
      <c r="Q59" s="19"/>
      <c r="R59" s="19"/>
      <c r="S59" s="19"/>
      <c r="T59" s="19"/>
      <c r="U59" s="19"/>
      <c r="V59" s="19"/>
      <c r="W59" s="19"/>
    </row>
    <row r="60" spans="1:25" x14ac:dyDescent="0.25">
      <c r="A60" s="5" t="s">
        <v>16</v>
      </c>
      <c r="B60" s="6" t="s">
        <v>58</v>
      </c>
      <c r="C60" s="6" t="s">
        <v>81</v>
      </c>
      <c r="D60" s="16">
        <v>1819.67</v>
      </c>
      <c r="E60" s="7">
        <f>0.04+3623.52+12.3+2.06</f>
        <v>3637.92</v>
      </c>
      <c r="F60" s="7">
        <v>130.86000000000001</v>
      </c>
      <c r="G60" s="7">
        <v>400.17</v>
      </c>
      <c r="H60" s="22"/>
      <c r="I60" s="22"/>
      <c r="J60" s="22"/>
      <c r="K60" s="22"/>
      <c r="L60" s="22"/>
      <c r="M60" s="22"/>
      <c r="N60" s="30">
        <f t="shared" ref="N60:N101" si="6">E60-D60-F60-G60</f>
        <v>1287.2199999999998</v>
      </c>
      <c r="S60" s="3"/>
    </row>
    <row r="61" spans="1:25" x14ac:dyDescent="0.25">
      <c r="A61" s="5" t="s">
        <v>17</v>
      </c>
      <c r="B61" s="6" t="s">
        <v>59</v>
      </c>
      <c r="C61" s="6" t="s">
        <v>89</v>
      </c>
      <c r="D61" s="16">
        <v>1820.01</v>
      </c>
      <c r="E61" s="7">
        <f>3623.52+12.85+2.14</f>
        <v>3638.5099999999998</v>
      </c>
      <c r="F61" s="7">
        <v>74.06</v>
      </c>
      <c r="G61" s="7">
        <v>400.24</v>
      </c>
      <c r="H61" s="22"/>
      <c r="I61" s="22"/>
      <c r="J61" s="22"/>
      <c r="K61" s="22"/>
      <c r="L61" s="22"/>
      <c r="M61" s="22"/>
      <c r="N61" s="30">
        <f t="shared" si="6"/>
        <v>1344.1999999999998</v>
      </c>
      <c r="S61" s="3"/>
    </row>
    <row r="62" spans="1:25" x14ac:dyDescent="0.25">
      <c r="A62" s="8" t="s">
        <v>19</v>
      </c>
      <c r="B62" s="9" t="s">
        <v>61</v>
      </c>
      <c r="C62" s="9" t="s">
        <v>84</v>
      </c>
      <c r="D62" s="16">
        <v>2652.11</v>
      </c>
      <c r="E62" s="7">
        <v>5304.22</v>
      </c>
      <c r="F62" s="7">
        <v>340.73</v>
      </c>
      <c r="G62" s="7">
        <v>583.46</v>
      </c>
      <c r="H62" s="22"/>
      <c r="I62" s="22"/>
      <c r="J62" s="22"/>
      <c r="K62" s="22"/>
      <c r="L62" s="22"/>
      <c r="M62" s="22"/>
      <c r="N62" s="30">
        <f t="shared" si="6"/>
        <v>1727.92</v>
      </c>
      <c r="S62" s="3"/>
    </row>
    <row r="63" spans="1:25" x14ac:dyDescent="0.25">
      <c r="A63" s="6" t="s">
        <v>20</v>
      </c>
      <c r="B63" s="6" t="s">
        <v>58</v>
      </c>
      <c r="C63" s="6" t="s">
        <v>81</v>
      </c>
      <c r="D63" s="7">
        <v>1811.76</v>
      </c>
      <c r="E63" s="7">
        <v>3623.52</v>
      </c>
      <c r="F63" s="7">
        <v>100.5</v>
      </c>
      <c r="G63" s="7">
        <v>398.59</v>
      </c>
      <c r="H63" s="22"/>
      <c r="I63" s="22"/>
      <c r="J63" s="22"/>
      <c r="K63" s="22"/>
      <c r="L63" s="22"/>
      <c r="M63" s="22"/>
      <c r="N63" s="7">
        <f t="shared" si="6"/>
        <v>1312.67</v>
      </c>
      <c r="S63" s="3"/>
    </row>
    <row r="64" spans="1:25" x14ac:dyDescent="0.25">
      <c r="A64" s="5" t="s">
        <v>21</v>
      </c>
      <c r="B64" s="6" t="s">
        <v>58</v>
      </c>
      <c r="C64" s="6" t="s">
        <v>85</v>
      </c>
      <c r="D64" s="16">
        <v>1812.16</v>
      </c>
      <c r="E64" s="7">
        <f>0.62+3623.52+0.1</f>
        <v>3624.24</v>
      </c>
      <c r="F64" s="7">
        <v>129.04</v>
      </c>
      <c r="G64" s="7">
        <v>398.67</v>
      </c>
      <c r="H64" s="22"/>
      <c r="I64" s="22"/>
      <c r="J64" s="22"/>
      <c r="K64" s="22"/>
      <c r="L64" s="22"/>
      <c r="M64" s="22"/>
      <c r="N64" s="30">
        <f t="shared" si="6"/>
        <v>1284.3699999999997</v>
      </c>
      <c r="S64" s="3"/>
    </row>
    <row r="65" spans="1:19" x14ac:dyDescent="0.25">
      <c r="A65" s="6" t="s">
        <v>23</v>
      </c>
      <c r="B65" s="6" t="s">
        <v>63</v>
      </c>
      <c r="C65" s="6" t="s">
        <v>87</v>
      </c>
      <c r="D65" s="16">
        <v>4838.78</v>
      </c>
      <c r="E65" s="7">
        <v>9677.56</v>
      </c>
      <c r="F65" s="7">
        <v>1624.65</v>
      </c>
      <c r="G65" s="7">
        <v>608.44000000000005</v>
      </c>
      <c r="H65" s="22"/>
      <c r="I65" s="22"/>
      <c r="J65" s="22"/>
      <c r="K65" s="22"/>
      <c r="L65" s="22"/>
      <c r="M65" s="22"/>
      <c r="N65" s="30">
        <f t="shared" si="6"/>
        <v>2605.6899999999996</v>
      </c>
      <c r="S65" s="3"/>
    </row>
    <row r="66" spans="1:19" x14ac:dyDescent="0.25">
      <c r="A66" s="6" t="s">
        <v>24</v>
      </c>
      <c r="B66" s="6" t="s">
        <v>58</v>
      </c>
      <c r="C66" s="6" t="s">
        <v>85</v>
      </c>
      <c r="D66" s="16">
        <v>1814.16</v>
      </c>
      <c r="E66" s="7">
        <f>3.75+3623.52+0.63</f>
        <v>3627.9</v>
      </c>
      <c r="F66" s="7">
        <v>129.52000000000001</v>
      </c>
      <c r="G66" s="7">
        <v>399.07</v>
      </c>
      <c r="H66" s="22"/>
      <c r="I66" s="22"/>
      <c r="J66" s="22"/>
      <c r="K66" s="22"/>
      <c r="L66" s="22"/>
      <c r="M66" s="22"/>
      <c r="N66" s="30">
        <f t="shared" si="6"/>
        <v>1285.1500000000001</v>
      </c>
      <c r="S66" s="3"/>
    </row>
    <row r="67" spans="1:19" x14ac:dyDescent="0.25">
      <c r="A67" s="11" t="s">
        <v>25</v>
      </c>
      <c r="B67" s="12" t="s">
        <v>64</v>
      </c>
      <c r="C67" s="12" t="s">
        <v>88</v>
      </c>
      <c r="D67" s="16">
        <v>4838.78</v>
      </c>
      <c r="E67" s="7">
        <v>9677.56</v>
      </c>
      <c r="F67" s="7">
        <v>1624.65</v>
      </c>
      <c r="G67" s="7">
        <v>608.44000000000005</v>
      </c>
      <c r="H67" s="22"/>
      <c r="I67" s="22"/>
      <c r="J67" s="22"/>
      <c r="K67" s="22"/>
      <c r="L67" s="22"/>
      <c r="M67" s="22"/>
      <c r="N67" s="30">
        <f t="shared" si="6"/>
        <v>2605.6899999999996</v>
      </c>
      <c r="S67" s="3"/>
    </row>
    <row r="68" spans="1:19" x14ac:dyDescent="0.25">
      <c r="A68" s="11" t="s">
        <v>99</v>
      </c>
      <c r="B68" s="13" t="s">
        <v>65</v>
      </c>
      <c r="C68" s="13" t="s">
        <v>84</v>
      </c>
      <c r="D68" s="16">
        <v>765.13</v>
      </c>
      <c r="E68" s="7">
        <v>1530.26</v>
      </c>
      <c r="F68" s="7"/>
      <c r="G68" s="7"/>
      <c r="H68" s="22"/>
      <c r="I68" s="22"/>
      <c r="J68" s="22"/>
      <c r="K68" s="22"/>
      <c r="L68" s="22"/>
      <c r="M68" s="22"/>
      <c r="N68" s="30">
        <f t="shared" si="6"/>
        <v>765.13</v>
      </c>
      <c r="S68" s="3"/>
    </row>
    <row r="69" spans="1:19" x14ac:dyDescent="0.25">
      <c r="A69" s="5" t="s">
        <v>26</v>
      </c>
      <c r="B69" s="6" t="s">
        <v>58</v>
      </c>
      <c r="C69" s="6" t="s">
        <v>81</v>
      </c>
      <c r="D69" s="7">
        <v>1828.47</v>
      </c>
      <c r="E69" s="7">
        <f>11.32+3623.52+1.89</f>
        <v>3636.73</v>
      </c>
      <c r="F69" s="7">
        <v>130.69999999999999</v>
      </c>
      <c r="G69" s="7">
        <v>400.04</v>
      </c>
      <c r="H69" s="22"/>
      <c r="I69" s="22"/>
      <c r="J69" s="22"/>
      <c r="K69" s="22"/>
      <c r="L69" s="22"/>
      <c r="M69" s="22"/>
      <c r="N69" s="7">
        <f t="shared" si="6"/>
        <v>1277.52</v>
      </c>
      <c r="S69" s="3"/>
    </row>
    <row r="70" spans="1:19" x14ac:dyDescent="0.25">
      <c r="A70" s="5" t="s">
        <v>27</v>
      </c>
      <c r="B70" s="6" t="s">
        <v>66</v>
      </c>
      <c r="C70" s="6" t="s">
        <v>86</v>
      </c>
      <c r="D70" s="16">
        <v>4175.0200000000004</v>
      </c>
      <c r="E70" s="7">
        <f>3.39+54.35+8287.5+0.57+9.06</f>
        <v>8354.869999999999</v>
      </c>
      <c r="F70" s="7">
        <v>1260.9100000000001</v>
      </c>
      <c r="G70" s="7">
        <v>608.44000000000005</v>
      </c>
      <c r="H70" s="22"/>
      <c r="I70" s="22"/>
      <c r="J70" s="22"/>
      <c r="K70" s="22"/>
      <c r="L70" s="22"/>
      <c r="M70" s="22"/>
      <c r="N70" s="32">
        <f t="shared" si="6"/>
        <v>2310.4999999999986</v>
      </c>
      <c r="S70" s="3"/>
    </row>
    <row r="71" spans="1:19" x14ac:dyDescent="0.25">
      <c r="A71" s="5" t="s">
        <v>28</v>
      </c>
      <c r="B71" s="6" t="s">
        <v>67</v>
      </c>
      <c r="C71" s="6" t="s">
        <v>85</v>
      </c>
      <c r="D71" s="16">
        <v>4187.26</v>
      </c>
      <c r="E71" s="7">
        <f>8287.5+67.81+11.3</f>
        <v>8366.6099999999988</v>
      </c>
      <c r="F71" s="7">
        <v>1264.1400000000001</v>
      </c>
      <c r="G71" s="7">
        <v>608.44000000000005</v>
      </c>
      <c r="H71" s="22"/>
      <c r="I71" s="22"/>
      <c r="J71" s="22"/>
      <c r="K71" s="22"/>
      <c r="L71" s="22"/>
      <c r="M71" s="22"/>
      <c r="N71" s="30">
        <f t="shared" si="6"/>
        <v>2306.7699999999982</v>
      </c>
      <c r="S71" s="3"/>
    </row>
    <row r="72" spans="1:19" x14ac:dyDescent="0.25">
      <c r="A72" s="5" t="s">
        <v>29</v>
      </c>
      <c r="B72" s="6" t="s">
        <v>60</v>
      </c>
      <c r="C72" s="6" t="s">
        <v>83</v>
      </c>
      <c r="D72" s="16">
        <v>6354.83</v>
      </c>
      <c r="E72" s="7">
        <v>12709.66</v>
      </c>
      <c r="F72" s="7">
        <v>2458.48</v>
      </c>
      <c r="G72" s="7">
        <v>608.44000000000005</v>
      </c>
      <c r="H72" s="22"/>
      <c r="I72" s="22"/>
      <c r="J72" s="22"/>
      <c r="K72" s="22"/>
      <c r="L72" s="22"/>
      <c r="M72" s="22"/>
      <c r="N72" s="30">
        <f t="shared" si="6"/>
        <v>3287.91</v>
      </c>
      <c r="S72" s="3"/>
    </row>
    <row r="73" spans="1:19" x14ac:dyDescent="0.25">
      <c r="A73" s="11" t="s">
        <v>139</v>
      </c>
      <c r="B73" s="6" t="s">
        <v>66</v>
      </c>
      <c r="C73" s="6" t="s">
        <v>86</v>
      </c>
      <c r="D73" s="22"/>
      <c r="E73" s="7">
        <v>690.63</v>
      </c>
      <c r="F73" s="7"/>
      <c r="G73" s="7">
        <v>55.25</v>
      </c>
      <c r="H73" s="22"/>
      <c r="I73" s="22"/>
      <c r="J73" s="22"/>
      <c r="K73" s="22"/>
      <c r="L73" s="22"/>
      <c r="M73" s="22"/>
      <c r="N73" s="32">
        <f t="shared" si="6"/>
        <v>635.38</v>
      </c>
      <c r="S73" s="3"/>
    </row>
    <row r="74" spans="1:19" x14ac:dyDescent="0.25">
      <c r="A74" s="5" t="s">
        <v>32</v>
      </c>
      <c r="B74" s="6" t="s">
        <v>70</v>
      </c>
      <c r="C74" s="6" t="s">
        <v>90</v>
      </c>
      <c r="D74" s="16">
        <v>1971.3</v>
      </c>
      <c r="E74" s="7">
        <f>48.34+3623.52+132.7+7.41+44.47+38.82</f>
        <v>3895.2599999999998</v>
      </c>
      <c r="F74" s="7">
        <v>165.22</v>
      </c>
      <c r="G74" s="7">
        <v>428.48</v>
      </c>
      <c r="H74" s="22"/>
      <c r="I74" s="22"/>
      <c r="J74" s="22"/>
      <c r="K74" s="22"/>
      <c r="L74" s="22"/>
      <c r="M74" s="22"/>
      <c r="N74" s="30">
        <f t="shared" si="6"/>
        <v>1330.2599999999998</v>
      </c>
      <c r="S74" s="3"/>
    </row>
    <row r="75" spans="1:19" x14ac:dyDescent="0.25">
      <c r="A75" s="5" t="s">
        <v>33</v>
      </c>
      <c r="B75" s="6" t="s">
        <v>58</v>
      </c>
      <c r="C75" s="6" t="s">
        <v>81</v>
      </c>
      <c r="D75" s="16">
        <v>1817.42</v>
      </c>
      <c r="E75" s="7">
        <f>8.81+3623.52+1.47</f>
        <v>3633.7999999999997</v>
      </c>
      <c r="F75" s="7">
        <v>130.31</v>
      </c>
      <c r="G75" s="7">
        <v>399.72</v>
      </c>
      <c r="H75" s="22"/>
      <c r="I75" s="22"/>
      <c r="J75" s="22"/>
      <c r="K75" s="22"/>
      <c r="L75" s="22"/>
      <c r="M75" s="22"/>
      <c r="N75" s="30">
        <f t="shared" si="6"/>
        <v>1286.3499999999997</v>
      </c>
      <c r="S75" s="3"/>
    </row>
    <row r="76" spans="1:19" x14ac:dyDescent="0.25">
      <c r="A76" s="5" t="s">
        <v>34</v>
      </c>
      <c r="B76" s="6" t="s">
        <v>67</v>
      </c>
      <c r="C76" s="6" t="s">
        <v>85</v>
      </c>
      <c r="D76" s="16">
        <v>4143.75</v>
      </c>
      <c r="E76" s="7">
        <v>8287.5</v>
      </c>
      <c r="F76" s="7">
        <v>1242.3800000000001</v>
      </c>
      <c r="G76" s="7">
        <v>608.44000000000005</v>
      </c>
      <c r="H76" s="22"/>
      <c r="I76" s="22"/>
      <c r="J76" s="22"/>
      <c r="K76" s="22"/>
      <c r="L76" s="22"/>
      <c r="M76" s="22"/>
      <c r="N76" s="30">
        <f t="shared" si="6"/>
        <v>2292.9299999999998</v>
      </c>
      <c r="S76" s="3"/>
    </row>
    <row r="77" spans="1:19" x14ac:dyDescent="0.25">
      <c r="A77" s="5" t="s">
        <v>107</v>
      </c>
      <c r="B77" s="15" t="s">
        <v>71</v>
      </c>
      <c r="C77" s="6" t="s">
        <v>87</v>
      </c>
      <c r="D77" s="7">
        <v>3498.6</v>
      </c>
      <c r="E77" s="7">
        <f>1.03+6995.3+0.17</f>
        <v>6996.5</v>
      </c>
      <c r="F77" s="7">
        <v>887.36</v>
      </c>
      <c r="G77" s="7">
        <v>608.44000000000005</v>
      </c>
      <c r="H77" s="22"/>
      <c r="I77" s="22"/>
      <c r="J77" s="22"/>
      <c r="K77" s="22"/>
      <c r="L77" s="22"/>
      <c r="M77" s="22"/>
      <c r="N77" s="30">
        <f t="shared" si="6"/>
        <v>2002.1</v>
      </c>
      <c r="S77" s="3"/>
    </row>
    <row r="78" spans="1:19" x14ac:dyDescent="0.25">
      <c r="A78" s="5" t="s">
        <v>133</v>
      </c>
      <c r="B78" s="6" t="s">
        <v>134</v>
      </c>
      <c r="C78" s="6" t="s">
        <v>91</v>
      </c>
      <c r="D78" s="16">
        <v>1612.93</v>
      </c>
      <c r="E78" s="7">
        <v>3225.85</v>
      </c>
      <c r="F78" s="7">
        <v>75.849999999999994</v>
      </c>
      <c r="G78" s="7">
        <v>354.84</v>
      </c>
      <c r="H78" s="22"/>
      <c r="I78" s="22"/>
      <c r="J78" s="22"/>
      <c r="K78" s="22"/>
      <c r="L78" s="22"/>
      <c r="M78" s="22"/>
      <c r="N78" s="30">
        <f t="shared" si="6"/>
        <v>1182.23</v>
      </c>
      <c r="S78" s="3"/>
    </row>
    <row r="79" spans="1:19" x14ac:dyDescent="0.25">
      <c r="A79" s="11" t="s">
        <v>35</v>
      </c>
      <c r="B79" s="13" t="s">
        <v>59</v>
      </c>
      <c r="C79" s="6" t="s">
        <v>89</v>
      </c>
      <c r="D79" s="16">
        <v>1937.62</v>
      </c>
      <c r="E79" s="7">
        <f>3623.52+8.89+36.9+1.48+9.88+7.8</f>
        <v>3688.4700000000003</v>
      </c>
      <c r="F79" s="7">
        <v>137.61000000000001</v>
      </c>
      <c r="G79" s="7">
        <v>405.73</v>
      </c>
      <c r="H79" s="22"/>
      <c r="I79" s="22"/>
      <c r="J79" s="22"/>
      <c r="K79" s="22"/>
      <c r="L79" s="22"/>
      <c r="M79" s="22"/>
      <c r="N79" s="30">
        <f t="shared" si="6"/>
        <v>1207.5100000000002</v>
      </c>
      <c r="S79" s="3"/>
    </row>
    <row r="80" spans="1:19" x14ac:dyDescent="0.25">
      <c r="A80" s="5" t="s">
        <v>36</v>
      </c>
      <c r="B80" s="6" t="s">
        <v>67</v>
      </c>
      <c r="C80" s="6" t="s">
        <v>85</v>
      </c>
      <c r="D80" s="16">
        <v>4143.75</v>
      </c>
      <c r="E80" s="7">
        <v>8287.5</v>
      </c>
      <c r="F80" s="7">
        <v>1242.3800000000001</v>
      </c>
      <c r="G80" s="7">
        <v>608.44000000000005</v>
      </c>
      <c r="H80" s="22"/>
      <c r="I80" s="22"/>
      <c r="J80" s="22"/>
      <c r="K80" s="22"/>
      <c r="L80" s="22"/>
      <c r="M80" s="22"/>
      <c r="N80" s="30">
        <f t="shared" si="6"/>
        <v>2292.9299999999998</v>
      </c>
      <c r="S80" s="3"/>
    </row>
    <row r="81" spans="1:19" x14ac:dyDescent="0.25">
      <c r="A81" s="11" t="s">
        <v>120</v>
      </c>
      <c r="B81" s="13" t="s">
        <v>74</v>
      </c>
      <c r="C81" s="6" t="s">
        <v>84</v>
      </c>
      <c r="D81" s="16">
        <v>3706.98</v>
      </c>
      <c r="E81" s="7">
        <v>7413.97</v>
      </c>
      <c r="F81" s="7">
        <v>1002.16</v>
      </c>
      <c r="G81" s="7">
        <v>608.44000000000005</v>
      </c>
      <c r="H81" s="22"/>
      <c r="I81" s="22"/>
      <c r="J81" s="22"/>
      <c r="K81" s="22"/>
      <c r="L81" s="22"/>
      <c r="M81" s="22"/>
      <c r="N81" s="30">
        <f t="shared" si="6"/>
        <v>2096.3900000000003</v>
      </c>
      <c r="S81" s="3"/>
    </row>
    <row r="82" spans="1:19" x14ac:dyDescent="0.25">
      <c r="A82" s="6" t="s">
        <v>38</v>
      </c>
      <c r="B82" s="6" t="s">
        <v>59</v>
      </c>
      <c r="C82" s="6" t="s">
        <v>89</v>
      </c>
      <c r="D82" s="16">
        <v>1896.15</v>
      </c>
      <c r="E82" s="7">
        <f>4.94+20.55+3623.52+36.24+0.82+36.24+15.51</f>
        <v>3737.8199999999997</v>
      </c>
      <c r="F82" s="7">
        <v>144.19999999999999</v>
      </c>
      <c r="G82" s="7">
        <v>411.16</v>
      </c>
      <c r="H82" s="22"/>
      <c r="I82" s="22"/>
      <c r="J82" s="22"/>
      <c r="K82" s="22"/>
      <c r="L82" s="22"/>
      <c r="M82" s="22"/>
      <c r="N82" s="30">
        <f t="shared" si="6"/>
        <v>1286.3099999999995</v>
      </c>
      <c r="S82" s="3"/>
    </row>
    <row r="83" spans="1:19" x14ac:dyDescent="0.25">
      <c r="A83" s="6" t="s">
        <v>39</v>
      </c>
      <c r="B83" s="6" t="s">
        <v>72</v>
      </c>
      <c r="C83" s="6" t="s">
        <v>86</v>
      </c>
      <c r="D83" s="16">
        <v>6354.83</v>
      </c>
      <c r="E83" s="7">
        <v>12709.66</v>
      </c>
      <c r="F83" s="7">
        <v>2458.48</v>
      </c>
      <c r="G83" s="7">
        <v>608.44000000000005</v>
      </c>
      <c r="H83" s="22"/>
      <c r="I83" s="22"/>
      <c r="J83" s="22"/>
      <c r="K83" s="22"/>
      <c r="L83" s="22"/>
      <c r="M83" s="22"/>
      <c r="N83" s="30">
        <f t="shared" si="6"/>
        <v>3287.91</v>
      </c>
      <c r="S83" s="3"/>
    </row>
    <row r="84" spans="1:19" x14ac:dyDescent="0.25">
      <c r="A84" s="6" t="s">
        <v>40</v>
      </c>
      <c r="B84" s="6" t="s">
        <v>73</v>
      </c>
      <c r="C84" s="6" t="s">
        <v>83</v>
      </c>
      <c r="D84" s="16">
        <v>1818.28</v>
      </c>
      <c r="E84" s="7">
        <f>10.17+3623.52+1.7</f>
        <v>3635.39</v>
      </c>
      <c r="F84" s="7">
        <v>130.53</v>
      </c>
      <c r="G84" s="7">
        <v>399.89</v>
      </c>
      <c r="H84" s="22"/>
      <c r="I84" s="22"/>
      <c r="J84" s="22"/>
      <c r="K84" s="22"/>
      <c r="L84" s="22"/>
      <c r="M84" s="22"/>
      <c r="N84" s="30">
        <f t="shared" si="6"/>
        <v>1286.69</v>
      </c>
      <c r="S84" s="3"/>
    </row>
    <row r="85" spans="1:19" x14ac:dyDescent="0.25">
      <c r="A85" s="6" t="s">
        <v>41</v>
      </c>
      <c r="B85" s="6" t="s">
        <v>82</v>
      </c>
      <c r="C85" s="6" t="s">
        <v>82</v>
      </c>
      <c r="D85" s="16">
        <v>4838.78</v>
      </c>
      <c r="E85" s="7">
        <v>9677.56</v>
      </c>
      <c r="F85" s="7">
        <v>1624.65</v>
      </c>
      <c r="G85" s="7">
        <v>608.44000000000005</v>
      </c>
      <c r="H85" s="22"/>
      <c r="I85" s="22"/>
      <c r="J85" s="22"/>
      <c r="K85" s="22"/>
      <c r="L85" s="22"/>
      <c r="M85" s="22"/>
      <c r="N85" s="30">
        <f t="shared" si="6"/>
        <v>2605.6899999999996</v>
      </c>
      <c r="S85" s="3"/>
    </row>
    <row r="86" spans="1:19" x14ac:dyDescent="0.25">
      <c r="A86" s="6" t="s">
        <v>43</v>
      </c>
      <c r="B86" s="6" t="s">
        <v>76</v>
      </c>
      <c r="C86" s="6" t="s">
        <v>91</v>
      </c>
      <c r="D86" s="16">
        <v>3751.61</v>
      </c>
      <c r="E86" s="7">
        <f>9.54+136.41+6995.3+181.24+1.59+69.95+64.6</f>
        <v>7458.63</v>
      </c>
      <c r="F86" s="7">
        <v>1014.44</v>
      </c>
      <c r="G86" s="7">
        <v>608.44000000000005</v>
      </c>
      <c r="H86" s="22"/>
      <c r="I86" s="22"/>
      <c r="J86" s="22"/>
      <c r="K86" s="22"/>
      <c r="L86" s="22"/>
      <c r="M86" s="22"/>
      <c r="N86" s="30">
        <f t="shared" si="6"/>
        <v>2084.14</v>
      </c>
      <c r="S86" s="3"/>
    </row>
    <row r="87" spans="1:19" x14ac:dyDescent="0.25">
      <c r="A87" s="6" t="s">
        <v>44</v>
      </c>
      <c r="B87" s="6" t="s">
        <v>70</v>
      </c>
      <c r="C87" s="6" t="s">
        <v>90</v>
      </c>
      <c r="D87" s="16">
        <v>1919.94</v>
      </c>
      <c r="E87" s="7">
        <f>5.88+3623.52+29.32+43.37+0.98+1.65+43.37+19.62</f>
        <v>3767.71</v>
      </c>
      <c r="F87" s="7">
        <v>148.19</v>
      </c>
      <c r="G87" s="7">
        <v>414.45</v>
      </c>
      <c r="H87" s="22"/>
      <c r="I87" s="22"/>
      <c r="J87" s="22"/>
      <c r="K87" s="22"/>
      <c r="L87" s="22"/>
      <c r="M87" s="22"/>
      <c r="N87" s="30">
        <f t="shared" si="6"/>
        <v>1285.1299999999999</v>
      </c>
      <c r="S87" s="3"/>
    </row>
    <row r="88" spans="1:19" x14ac:dyDescent="0.25">
      <c r="A88" s="5" t="s">
        <v>45</v>
      </c>
      <c r="B88" s="6" t="s">
        <v>58</v>
      </c>
      <c r="C88" s="6" t="s">
        <v>81</v>
      </c>
      <c r="D88" s="16">
        <v>1813.72</v>
      </c>
      <c r="E88" s="7">
        <f>3.05+3623.52+0.51</f>
        <v>3627.0800000000004</v>
      </c>
      <c r="F88" s="7">
        <v>129.41999999999999</v>
      </c>
      <c r="G88" s="7">
        <v>398.98</v>
      </c>
      <c r="H88" s="22"/>
      <c r="I88" s="22"/>
      <c r="J88" s="22"/>
      <c r="K88" s="22"/>
      <c r="L88" s="22"/>
      <c r="M88" s="22"/>
      <c r="N88" s="30">
        <f t="shared" si="6"/>
        <v>1284.9600000000003</v>
      </c>
      <c r="S88" s="3"/>
    </row>
    <row r="89" spans="1:19" x14ac:dyDescent="0.25">
      <c r="A89" s="6" t="s">
        <v>46</v>
      </c>
      <c r="B89" s="6" t="s">
        <v>58</v>
      </c>
      <c r="C89" s="6" t="s">
        <v>81</v>
      </c>
      <c r="D89" s="16">
        <v>2991.74</v>
      </c>
      <c r="E89" s="7">
        <f>7.91+25.82+3623.52+59.84+1680.7+1.32+36.24+20.32</f>
        <v>5455.6699999999992</v>
      </c>
      <c r="F89" s="7">
        <v>465.92</v>
      </c>
      <c r="G89" s="7">
        <v>600.12</v>
      </c>
      <c r="H89" s="22"/>
      <c r="I89" s="22"/>
      <c r="J89" s="22"/>
      <c r="K89" s="22"/>
      <c r="L89" s="22"/>
      <c r="M89" s="22"/>
      <c r="N89" s="30">
        <f t="shared" si="6"/>
        <v>1397.8899999999994</v>
      </c>
      <c r="S89" s="3"/>
    </row>
    <row r="90" spans="1:19" x14ac:dyDescent="0.25">
      <c r="A90" s="5" t="s">
        <v>104</v>
      </c>
      <c r="B90" s="6" t="s">
        <v>59</v>
      </c>
      <c r="C90" s="6" t="s">
        <v>89</v>
      </c>
      <c r="D90" s="16">
        <v>1889.76</v>
      </c>
      <c r="E90" s="7">
        <f>4.94+7.9+3623.52+36.24+0.82+36.24+13.4</f>
        <v>3723.06</v>
      </c>
      <c r="F90" s="7">
        <v>142.22999999999999</v>
      </c>
      <c r="G90" s="7">
        <v>409.54</v>
      </c>
      <c r="H90" s="22"/>
      <c r="I90" s="22"/>
      <c r="J90" s="22"/>
      <c r="K90" s="22"/>
      <c r="L90" s="22"/>
      <c r="M90" s="22"/>
      <c r="N90" s="30">
        <f t="shared" si="6"/>
        <v>1281.53</v>
      </c>
      <c r="S90" s="3"/>
    </row>
    <row r="91" spans="1:19" x14ac:dyDescent="0.25">
      <c r="A91" s="6" t="s">
        <v>112</v>
      </c>
      <c r="B91" s="6" t="s">
        <v>66</v>
      </c>
      <c r="C91" s="6" t="s">
        <v>86</v>
      </c>
      <c r="D91" s="16">
        <v>4155.1099999999997</v>
      </c>
      <c r="E91" s="7">
        <f>17.7+8287.5+2.95</f>
        <v>8308.1500000000015</v>
      </c>
      <c r="F91" s="7">
        <v>1195.92</v>
      </c>
      <c r="G91" s="7">
        <v>608.44000000000005</v>
      </c>
      <c r="H91" s="22"/>
      <c r="I91" s="22"/>
      <c r="J91" s="22"/>
      <c r="K91" s="22"/>
      <c r="L91" s="22"/>
      <c r="M91" s="22"/>
      <c r="N91" s="30">
        <f t="shared" si="6"/>
        <v>2348.6800000000017</v>
      </c>
      <c r="S91" s="3"/>
    </row>
    <row r="92" spans="1:19" x14ac:dyDescent="0.25">
      <c r="A92" s="5" t="s">
        <v>47</v>
      </c>
      <c r="B92" s="6" t="s">
        <v>66</v>
      </c>
      <c r="C92" s="6" t="s">
        <v>86</v>
      </c>
      <c r="D92" s="16">
        <v>4164.54</v>
      </c>
      <c r="E92" s="7">
        <f>58.68+8287.5+9.78</f>
        <v>8355.9600000000009</v>
      </c>
      <c r="F92" s="7">
        <v>1261.21</v>
      </c>
      <c r="G92" s="7">
        <v>608.44000000000005</v>
      </c>
      <c r="H92" s="22"/>
      <c r="I92" s="22"/>
      <c r="J92" s="22"/>
      <c r="K92" s="22"/>
      <c r="L92" s="22"/>
      <c r="M92" s="22"/>
      <c r="N92" s="30">
        <f t="shared" si="6"/>
        <v>2321.7700000000009</v>
      </c>
      <c r="S92" s="3"/>
    </row>
    <row r="93" spans="1:19" x14ac:dyDescent="0.25">
      <c r="A93" s="5" t="s">
        <v>48</v>
      </c>
      <c r="B93" s="6" t="s">
        <v>66</v>
      </c>
      <c r="C93" s="6" t="s">
        <v>85</v>
      </c>
      <c r="D93" s="16">
        <v>4322.6099999999997</v>
      </c>
      <c r="E93" s="7">
        <f>66.69+121.48+8287.5+11.12+48.03+28.25</f>
        <v>8563.0700000000015</v>
      </c>
      <c r="F93" s="7">
        <v>1318.16</v>
      </c>
      <c r="G93" s="7">
        <v>608.44000000000005</v>
      </c>
      <c r="H93" s="22"/>
      <c r="I93" s="22"/>
      <c r="J93" s="22"/>
      <c r="K93" s="22"/>
      <c r="L93" s="22"/>
      <c r="M93" s="22"/>
      <c r="N93" s="30">
        <f t="shared" si="6"/>
        <v>2313.8600000000019</v>
      </c>
      <c r="S93" s="3"/>
    </row>
    <row r="94" spans="1:19" x14ac:dyDescent="0.25">
      <c r="A94" s="5" t="s">
        <v>49</v>
      </c>
      <c r="B94" s="6" t="s">
        <v>58</v>
      </c>
      <c r="C94" s="6" t="s">
        <v>81</v>
      </c>
      <c r="D94" s="16">
        <v>1823.33</v>
      </c>
      <c r="E94" s="7">
        <f>28.16+3623.52+4.69</f>
        <v>3656.37</v>
      </c>
      <c r="F94" s="7">
        <v>76.45</v>
      </c>
      <c r="G94" s="7">
        <v>402.2</v>
      </c>
      <c r="H94" s="22"/>
      <c r="I94" s="22"/>
      <c r="J94" s="22"/>
      <c r="K94" s="22"/>
      <c r="L94" s="22"/>
      <c r="M94" s="22"/>
      <c r="N94" s="30">
        <f t="shared" si="6"/>
        <v>1354.3899999999999</v>
      </c>
      <c r="S94" s="3"/>
    </row>
    <row r="95" spans="1:19" x14ac:dyDescent="0.25">
      <c r="A95" s="5" t="s">
        <v>50</v>
      </c>
      <c r="B95" s="6" t="s">
        <v>122</v>
      </c>
      <c r="C95" s="6" t="s">
        <v>85</v>
      </c>
      <c r="D95" s="16">
        <v>6508.01</v>
      </c>
      <c r="E95" s="7">
        <f>63.29+79.38+8287.5+4422.16+10.55+48.03+21.24</f>
        <v>12932.15</v>
      </c>
      <c r="F95" s="7">
        <v>2519.663</v>
      </c>
      <c r="G95" s="7">
        <v>608.44000000000005</v>
      </c>
      <c r="H95" s="22"/>
      <c r="I95" s="22"/>
      <c r="J95" s="22"/>
      <c r="K95" s="22"/>
      <c r="L95" s="22"/>
      <c r="M95" s="22"/>
      <c r="N95" s="30">
        <f t="shared" si="6"/>
        <v>3296.0369999999994</v>
      </c>
      <c r="S95" s="3"/>
    </row>
    <row r="96" spans="1:19" x14ac:dyDescent="0.25">
      <c r="A96" s="5" t="s">
        <v>51</v>
      </c>
      <c r="B96" s="6" t="s">
        <v>77</v>
      </c>
      <c r="C96" s="31" t="s">
        <v>83</v>
      </c>
      <c r="D96" s="16">
        <v>3736.81</v>
      </c>
      <c r="E96" s="7">
        <f>9.54+43.16+69.95+1.59+1.98+69.95+30.84+6995.3</f>
        <v>7222.31</v>
      </c>
      <c r="F96" s="7">
        <v>949.45</v>
      </c>
      <c r="G96" s="7">
        <v>608.44000000000005</v>
      </c>
      <c r="H96" s="22"/>
      <c r="I96" s="22"/>
      <c r="J96" s="22"/>
      <c r="K96" s="22"/>
      <c r="L96" s="22"/>
      <c r="M96" s="22"/>
      <c r="N96" s="30">
        <f t="shared" si="6"/>
        <v>1927.6100000000001</v>
      </c>
      <c r="S96" s="3"/>
    </row>
    <row r="97" spans="1:19" x14ac:dyDescent="0.25">
      <c r="A97" s="6" t="s">
        <v>53</v>
      </c>
      <c r="B97" s="6" t="s">
        <v>73</v>
      </c>
      <c r="C97" s="6" t="s">
        <v>83</v>
      </c>
      <c r="D97" s="16">
        <v>1819.79</v>
      </c>
      <c r="E97" s="7">
        <f>12.52+3623.52+2.09</f>
        <v>3638.13</v>
      </c>
      <c r="F97" s="7">
        <v>130.88999999999999</v>
      </c>
      <c r="G97" s="7">
        <v>400.19</v>
      </c>
      <c r="H97" s="22"/>
      <c r="I97" s="22"/>
      <c r="J97" s="22"/>
      <c r="K97" s="22"/>
      <c r="L97" s="22"/>
      <c r="M97" s="22"/>
      <c r="N97" s="30">
        <f t="shared" si="6"/>
        <v>1287.2600000000002</v>
      </c>
      <c r="S97" s="3"/>
    </row>
    <row r="98" spans="1:19" x14ac:dyDescent="0.25">
      <c r="A98" s="6" t="s">
        <v>54</v>
      </c>
      <c r="B98" s="6" t="s">
        <v>79</v>
      </c>
      <c r="C98" s="6" t="s">
        <v>87</v>
      </c>
      <c r="D98" s="16">
        <v>3553.04</v>
      </c>
      <c r="E98" s="7">
        <f>17.17+31.01+6995.3+2.86+19.08+8.35</f>
        <v>7073.77</v>
      </c>
      <c r="F98" s="7">
        <v>908.61</v>
      </c>
      <c r="G98" s="7">
        <v>608.44000000000005</v>
      </c>
      <c r="H98" s="22"/>
      <c r="I98" s="22"/>
      <c r="J98" s="22"/>
      <c r="K98" s="22"/>
      <c r="L98" s="22"/>
      <c r="M98" s="22"/>
      <c r="N98" s="30">
        <f t="shared" si="6"/>
        <v>2003.6800000000003</v>
      </c>
      <c r="S98" s="3"/>
    </row>
    <row r="99" spans="1:19" x14ac:dyDescent="0.25">
      <c r="A99" s="5" t="s">
        <v>55</v>
      </c>
      <c r="B99" s="6" t="s">
        <v>58</v>
      </c>
      <c r="C99" s="31" t="s">
        <v>85</v>
      </c>
      <c r="D99" s="16">
        <v>1509.93</v>
      </c>
      <c r="E99" s="7">
        <f>0.21+3019.6+0.04</f>
        <v>3019.85</v>
      </c>
      <c r="F99" s="7">
        <v>58.78</v>
      </c>
      <c r="G99" s="7">
        <v>332.18</v>
      </c>
      <c r="H99" s="22"/>
      <c r="I99" s="22"/>
      <c r="J99" s="22"/>
      <c r="K99" s="22"/>
      <c r="L99" s="22"/>
      <c r="M99" s="22"/>
      <c r="N99" s="30">
        <f t="shared" si="6"/>
        <v>1118.9599999999998</v>
      </c>
      <c r="S99" s="3"/>
    </row>
    <row r="100" spans="1:19" x14ac:dyDescent="0.25">
      <c r="A100" s="6" t="s">
        <v>56</v>
      </c>
      <c r="B100" s="6" t="s">
        <v>121</v>
      </c>
      <c r="C100" s="31" t="s">
        <v>89</v>
      </c>
      <c r="D100" s="16">
        <v>6725.16</v>
      </c>
      <c r="E100" s="7">
        <f>9.54+11.45+6995.3+69.95+5714.36+1.59+69.95+25.23</f>
        <v>12897.369999999999</v>
      </c>
      <c r="F100" s="7">
        <v>2510.1</v>
      </c>
      <c r="G100" s="7">
        <v>608.44000000000005</v>
      </c>
      <c r="H100" s="22"/>
      <c r="I100" s="22"/>
      <c r="J100" s="22"/>
      <c r="K100" s="22"/>
      <c r="L100" s="22"/>
      <c r="M100" s="22"/>
      <c r="N100" s="30">
        <f t="shared" si="6"/>
        <v>3053.6699999999992</v>
      </c>
      <c r="S100" s="3"/>
    </row>
    <row r="101" spans="1:19" x14ac:dyDescent="0.25">
      <c r="A101" s="6" t="s">
        <v>141</v>
      </c>
      <c r="B101" s="6" t="s">
        <v>142</v>
      </c>
      <c r="C101" s="6" t="s">
        <v>143</v>
      </c>
      <c r="D101" s="16"/>
      <c r="E101" s="7">
        <v>1611.26</v>
      </c>
      <c r="F101" s="7"/>
      <c r="G101" s="7">
        <v>128.9</v>
      </c>
      <c r="H101" s="22"/>
      <c r="I101" s="22"/>
      <c r="J101" s="22"/>
      <c r="K101" s="22"/>
      <c r="L101" s="22"/>
      <c r="M101" s="22"/>
      <c r="N101" s="30">
        <f t="shared" si="6"/>
        <v>1482.36</v>
      </c>
      <c r="S101" s="3"/>
    </row>
    <row r="102" spans="1:19" hidden="1" x14ac:dyDescent="0.25">
      <c r="N102" s="33">
        <f>SUM(N60:N101)</f>
        <v>76035.346999999994</v>
      </c>
      <c r="S102" s="3"/>
    </row>
    <row r="103" spans="1:19" x14ac:dyDescent="0.25">
      <c r="S103" s="3"/>
    </row>
    <row r="104" spans="1:19" x14ac:dyDescent="0.25">
      <c r="S104" s="3"/>
    </row>
    <row r="105" spans="1:19" x14ac:dyDescent="0.25">
      <c r="S105" s="3"/>
    </row>
    <row r="106" spans="1:19" x14ac:dyDescent="0.25">
      <c r="S106" s="3"/>
    </row>
    <row r="107" spans="1:19" x14ac:dyDescent="0.25">
      <c r="S107" s="3"/>
    </row>
    <row r="108" spans="1:19" x14ac:dyDescent="0.25">
      <c r="S108" s="3"/>
    </row>
    <row r="109" spans="1:19" x14ac:dyDescent="0.25">
      <c r="S109" s="3"/>
    </row>
    <row r="110" spans="1:19" x14ac:dyDescent="0.25">
      <c r="S110" s="3"/>
    </row>
    <row r="111" spans="1:19" x14ac:dyDescent="0.25">
      <c r="S111" s="3"/>
    </row>
    <row r="112" spans="1:19" x14ac:dyDescent="0.25">
      <c r="S112" s="3"/>
    </row>
    <row r="113" spans="19:19" x14ac:dyDescent="0.25">
      <c r="S113" s="3"/>
    </row>
    <row r="114" spans="19:19" x14ac:dyDescent="0.25">
      <c r="S114" s="3"/>
    </row>
    <row r="115" spans="19:19" x14ac:dyDescent="0.25">
      <c r="S115" s="3"/>
    </row>
    <row r="116" spans="19:19" x14ac:dyDescent="0.25">
      <c r="S116" s="3"/>
    </row>
    <row r="117" spans="19:19" x14ac:dyDescent="0.25">
      <c r="S117" s="3"/>
    </row>
    <row r="118" spans="19:19" x14ac:dyDescent="0.25">
      <c r="S118" s="3"/>
    </row>
    <row r="119" spans="19:19" x14ac:dyDescent="0.25">
      <c r="S119" s="3"/>
    </row>
    <row r="120" spans="19:19" x14ac:dyDescent="0.25">
      <c r="S120" s="3"/>
    </row>
    <row r="121" spans="19:19" x14ac:dyDescent="0.25">
      <c r="S121" s="3"/>
    </row>
    <row r="122" spans="19:19" x14ac:dyDescent="0.25">
      <c r="S122" s="3"/>
    </row>
    <row r="123" spans="19:19" x14ac:dyDescent="0.25">
      <c r="S123" s="3"/>
    </row>
    <row r="124" spans="19:19" x14ac:dyDescent="0.25">
      <c r="S124" s="3"/>
    </row>
    <row r="125" spans="19:19" x14ac:dyDescent="0.25">
      <c r="S125" s="3"/>
    </row>
    <row r="126" spans="19:19" x14ac:dyDescent="0.25">
      <c r="S126" s="3"/>
    </row>
    <row r="127" spans="19:19" x14ac:dyDescent="0.25">
      <c r="S127" s="3"/>
    </row>
    <row r="128" spans="19:19" x14ac:dyDescent="0.25">
      <c r="S128" s="3"/>
    </row>
    <row r="129" spans="19:19" x14ac:dyDescent="0.25">
      <c r="S129" s="3"/>
    </row>
    <row r="130" spans="19:19" x14ac:dyDescent="0.25">
      <c r="S130" s="3"/>
    </row>
    <row r="131" spans="19:19" x14ac:dyDescent="0.25">
      <c r="S131" s="3"/>
    </row>
    <row r="132" spans="19:19" x14ac:dyDescent="0.25">
      <c r="S132" s="3"/>
    </row>
    <row r="133" spans="19:19" x14ac:dyDescent="0.25">
      <c r="S133" s="3"/>
    </row>
    <row r="134" spans="19:19" x14ac:dyDescent="0.25">
      <c r="S134" s="3"/>
    </row>
    <row r="135" spans="19:19" x14ac:dyDescent="0.25">
      <c r="S135" s="3"/>
    </row>
    <row r="136" spans="19:19" x14ac:dyDescent="0.25">
      <c r="S136" s="3"/>
    </row>
    <row r="137" spans="19:19" x14ac:dyDescent="0.25">
      <c r="S137" s="3"/>
    </row>
    <row r="138" spans="19:19" x14ac:dyDescent="0.25">
      <c r="S138" s="3"/>
    </row>
    <row r="139" spans="19:19" x14ac:dyDescent="0.25">
      <c r="S139" s="3"/>
    </row>
    <row r="140" spans="19:19" x14ac:dyDescent="0.25">
      <c r="S140" s="3"/>
    </row>
    <row r="141" spans="19:19" x14ac:dyDescent="0.25">
      <c r="S141" s="3"/>
    </row>
    <row r="142" spans="19:19" x14ac:dyDescent="0.25">
      <c r="S142" s="3"/>
    </row>
    <row r="143" spans="19:19" x14ac:dyDescent="0.25">
      <c r="S143" s="3"/>
    </row>
    <row r="144" spans="19:19" x14ac:dyDescent="0.25">
      <c r="S144" s="3"/>
    </row>
    <row r="145" spans="19:19" x14ac:dyDescent="0.25">
      <c r="S145" s="3"/>
    </row>
    <row r="146" spans="19:19" x14ac:dyDescent="0.25">
      <c r="S146" s="3"/>
    </row>
    <row r="147" spans="19:19" x14ac:dyDescent="0.25">
      <c r="S147" s="3"/>
    </row>
    <row r="148" spans="19:19" x14ac:dyDescent="0.25">
      <c r="S148" s="3"/>
    </row>
    <row r="149" spans="19:19" x14ac:dyDescent="0.25">
      <c r="S149" s="3"/>
    </row>
    <row r="150" spans="19:19" x14ac:dyDescent="0.25">
      <c r="S150" s="3"/>
    </row>
  </sheetData>
  <autoFilter ref="A59:G100"/>
  <sortState ref="A60:L100">
    <sortCondition ref="A59"/>
  </sortState>
  <pageMargins left="0.51181102362204722" right="0.51181102362204722" top="0.78740157480314965" bottom="0.78740157480314965" header="0.31496062992125984" footer="0.31496062992125984"/>
  <pageSetup paperSize="9" scale="3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sqref="A1:U64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bestFit="1" customWidth="1"/>
    <col min="5" max="5" width="14.85546875" style="2" bestFit="1" customWidth="1"/>
    <col min="6" max="6" width="19.140625" style="2" customWidth="1"/>
    <col min="7" max="7" width="12.28515625" style="2" customWidth="1"/>
    <col min="8" max="10" width="22" style="2" hidden="1" customWidth="1"/>
    <col min="11" max="11" width="22" style="2" customWidth="1"/>
    <col min="12" max="12" width="19.7109375" style="2" customWidth="1"/>
    <col min="13" max="13" width="22.140625" style="2" customWidth="1"/>
    <col min="14" max="14" width="16.28515625" style="2" customWidth="1"/>
    <col min="15" max="15" width="20.28515625" style="2" customWidth="1"/>
    <col min="16" max="16" width="13" style="2" bestFit="1" customWidth="1"/>
    <col min="17" max="17" width="12.140625" style="2" bestFit="1" customWidth="1"/>
    <col min="18" max="18" width="18.85546875" style="2" bestFit="1" customWidth="1"/>
    <col min="19" max="19" width="11.42578125" style="2" bestFit="1" customWidth="1"/>
    <col min="20" max="20" width="17.5703125" style="2" bestFit="1" customWidth="1"/>
    <col min="21" max="21" width="14.85546875" style="2" bestFit="1" customWidth="1"/>
    <col min="22" max="16384" width="9.140625" style="2"/>
  </cols>
  <sheetData>
    <row r="1" spans="1:21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x14ac:dyDescent="0.3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1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109</v>
      </c>
      <c r="K4" s="21" t="s">
        <v>6</v>
      </c>
      <c r="L4" s="21" t="s">
        <v>7</v>
      </c>
      <c r="M4" s="21" t="s">
        <v>101</v>
      </c>
      <c r="N4" s="20" t="s">
        <v>8</v>
      </c>
      <c r="O4" s="21" t="s">
        <v>9</v>
      </c>
      <c r="P4" s="21" t="s">
        <v>10</v>
      </c>
      <c r="Q4" s="21" t="s">
        <v>11</v>
      </c>
      <c r="R4" s="21" t="s">
        <v>12</v>
      </c>
      <c r="S4" s="21" t="s">
        <v>92</v>
      </c>
      <c r="T4" s="20" t="s">
        <v>13</v>
      </c>
      <c r="U4" s="21" t="s">
        <v>14</v>
      </c>
    </row>
    <row r="5" spans="1:21" x14ac:dyDescent="0.25">
      <c r="A5" s="5" t="s">
        <v>16</v>
      </c>
      <c r="B5" s="6" t="s">
        <v>58</v>
      </c>
      <c r="C5" s="6" t="s">
        <v>81</v>
      </c>
      <c r="D5" s="16">
        <v>3517.98</v>
      </c>
      <c r="E5" s="7">
        <v>1876.26</v>
      </c>
      <c r="F5" s="7"/>
      <c r="G5" s="7"/>
      <c r="H5" s="7">
        <v>540</v>
      </c>
      <c r="I5" s="7">
        <v>432</v>
      </c>
      <c r="J5" s="7"/>
      <c r="K5" s="16">
        <f t="shared" ref="K5:K36" si="0">H5+I5+J5</f>
        <v>972</v>
      </c>
      <c r="L5" s="7"/>
      <c r="M5" s="7"/>
      <c r="N5" s="7"/>
      <c r="O5" s="16">
        <f t="shared" ref="O5:O36" si="1">D5+E5+F5+G5+K5+L5+M5+N5</f>
        <v>6366.24</v>
      </c>
      <c r="P5" s="7">
        <v>114.85</v>
      </c>
      <c r="Q5" s="7">
        <f>386.98</f>
        <v>386.98</v>
      </c>
      <c r="R5" s="7">
        <f>11+35.18</f>
        <v>46.18</v>
      </c>
      <c r="S5" s="7">
        <v>126.65</v>
      </c>
      <c r="T5" s="16">
        <f t="shared" ref="T5:T36" si="2">P5+Q5+R5+S5</f>
        <v>674.66</v>
      </c>
      <c r="U5" s="16">
        <f t="shared" ref="U5:U36" si="3">O5-T5</f>
        <v>5691.58</v>
      </c>
    </row>
    <row r="6" spans="1:21" x14ac:dyDescent="0.25">
      <c r="A6" s="5" t="s">
        <v>17</v>
      </c>
      <c r="B6" s="6" t="s">
        <v>59</v>
      </c>
      <c r="C6" s="6" t="s">
        <v>82</v>
      </c>
      <c r="D6" s="16">
        <v>3517.98</v>
      </c>
      <c r="E6" s="7"/>
      <c r="F6" s="7"/>
      <c r="G6" s="7"/>
      <c r="H6" s="7">
        <v>540</v>
      </c>
      <c r="I6" s="7"/>
      <c r="J6" s="7">
        <v>250</v>
      </c>
      <c r="K6" s="16">
        <f t="shared" si="0"/>
        <v>790</v>
      </c>
      <c r="L6" s="7"/>
      <c r="M6" s="7"/>
      <c r="N6" s="7"/>
      <c r="O6" s="16">
        <f t="shared" si="1"/>
        <v>4307.9799999999996</v>
      </c>
      <c r="P6" s="7">
        <v>63.59</v>
      </c>
      <c r="Q6" s="7">
        <v>386.98</v>
      </c>
      <c r="R6" s="7"/>
      <c r="S6" s="7"/>
      <c r="T6" s="16">
        <f t="shared" si="2"/>
        <v>450.57000000000005</v>
      </c>
      <c r="U6" s="16">
        <f t="shared" si="3"/>
        <v>3857.4099999999994</v>
      </c>
    </row>
    <row r="7" spans="1:21" x14ac:dyDescent="0.25">
      <c r="A7" s="8" t="s">
        <v>18</v>
      </c>
      <c r="B7" s="9" t="s">
        <v>60</v>
      </c>
      <c r="C7" s="9" t="s">
        <v>83</v>
      </c>
      <c r="D7" s="16">
        <v>12339.48</v>
      </c>
      <c r="E7" s="7"/>
      <c r="F7" s="7"/>
      <c r="G7" s="7"/>
      <c r="H7" s="7">
        <v>540</v>
      </c>
      <c r="I7" s="7"/>
      <c r="J7" s="7"/>
      <c r="K7" s="16">
        <f t="shared" si="0"/>
        <v>540</v>
      </c>
      <c r="L7" s="7"/>
      <c r="M7" s="7"/>
      <c r="N7" s="7"/>
      <c r="O7" s="16">
        <f t="shared" si="1"/>
        <v>12879.48</v>
      </c>
      <c r="P7" s="7">
        <v>2304.54</v>
      </c>
      <c r="Q7" s="7">
        <v>608.44000000000005</v>
      </c>
      <c r="R7" s="7"/>
      <c r="S7" s="7"/>
      <c r="T7" s="16">
        <f t="shared" si="2"/>
        <v>2912.98</v>
      </c>
      <c r="U7" s="16">
        <f t="shared" si="3"/>
        <v>9966.5</v>
      </c>
    </row>
    <row r="8" spans="1:21" x14ac:dyDescent="0.25">
      <c r="A8" s="8" t="s">
        <v>19</v>
      </c>
      <c r="B8" s="9" t="s">
        <v>61</v>
      </c>
      <c r="C8" s="9" t="s">
        <v>84</v>
      </c>
      <c r="D8" s="16">
        <v>5149.7299999999996</v>
      </c>
      <c r="E8" s="7">
        <v>2574.87</v>
      </c>
      <c r="F8" s="7"/>
      <c r="G8" s="7"/>
      <c r="H8" s="7">
        <v>540</v>
      </c>
      <c r="I8" s="7">
        <v>136.80000000000001</v>
      </c>
      <c r="J8" s="7"/>
      <c r="K8" s="16">
        <f t="shared" si="0"/>
        <v>676.8</v>
      </c>
      <c r="L8" s="7">
        <f>41.84+6.97+874.56</f>
        <v>923.36999999999989</v>
      </c>
      <c r="M8" s="7"/>
      <c r="N8" s="7">
        <v>283.06</v>
      </c>
      <c r="O8" s="16">
        <f t="shared" si="1"/>
        <v>9607.83</v>
      </c>
      <c r="P8" s="7">
        <f>366.47+62.27</f>
        <v>428.74</v>
      </c>
      <c r="Q8" s="7">
        <f>597.61+384.81</f>
        <v>982.42000000000007</v>
      </c>
      <c r="R8" s="7"/>
      <c r="S8" s="7">
        <v>136.80000000000001</v>
      </c>
      <c r="T8" s="16">
        <f t="shared" si="2"/>
        <v>1547.96</v>
      </c>
      <c r="U8" s="16">
        <f t="shared" si="3"/>
        <v>8059.87</v>
      </c>
    </row>
    <row r="9" spans="1:21" x14ac:dyDescent="0.25">
      <c r="A9" s="6" t="s">
        <v>20</v>
      </c>
      <c r="B9" s="6" t="s">
        <v>58</v>
      </c>
      <c r="C9" s="6" t="s">
        <v>81</v>
      </c>
      <c r="D9" s="16">
        <v>3517.98</v>
      </c>
      <c r="E9" s="7"/>
      <c r="F9" s="7"/>
      <c r="G9" s="7"/>
      <c r="H9" s="7">
        <v>540</v>
      </c>
      <c r="I9" s="7">
        <v>284.39999999999998</v>
      </c>
      <c r="J9" s="7"/>
      <c r="K9" s="16">
        <f t="shared" si="0"/>
        <v>824.4</v>
      </c>
      <c r="L9" s="7"/>
      <c r="M9" s="7"/>
      <c r="N9" s="7"/>
      <c r="O9" s="16">
        <f t="shared" si="1"/>
        <v>4342.38</v>
      </c>
      <c r="P9" s="7">
        <v>86.41</v>
      </c>
      <c r="Q9" s="7">
        <v>386.98</v>
      </c>
      <c r="R9" s="7">
        <f>22+35.18</f>
        <v>57.18</v>
      </c>
      <c r="S9" s="7">
        <v>126.65</v>
      </c>
      <c r="T9" s="16">
        <f t="shared" si="2"/>
        <v>657.21999999999991</v>
      </c>
      <c r="U9" s="16">
        <f t="shared" si="3"/>
        <v>3685.1600000000003</v>
      </c>
    </row>
    <row r="10" spans="1:21" x14ac:dyDescent="0.25">
      <c r="A10" s="5" t="s">
        <v>105</v>
      </c>
      <c r="B10" s="6" t="s">
        <v>62</v>
      </c>
      <c r="C10" s="6" t="s">
        <v>83</v>
      </c>
      <c r="D10" s="16">
        <v>1308.92</v>
      </c>
      <c r="E10" s="7"/>
      <c r="F10" s="7"/>
      <c r="G10" s="7"/>
      <c r="H10" s="7">
        <v>540</v>
      </c>
      <c r="I10" s="7">
        <v>147.6</v>
      </c>
      <c r="J10" s="7"/>
      <c r="K10" s="16">
        <f t="shared" si="0"/>
        <v>687.6</v>
      </c>
      <c r="L10" s="7"/>
      <c r="M10" s="7"/>
      <c r="N10" s="7"/>
      <c r="O10" s="16">
        <f t="shared" si="1"/>
        <v>1996.52</v>
      </c>
      <c r="P10" s="7"/>
      <c r="Q10" s="7"/>
      <c r="R10" s="7"/>
      <c r="S10" s="7"/>
      <c r="T10" s="16">
        <f t="shared" si="2"/>
        <v>0</v>
      </c>
      <c r="U10" s="16">
        <f t="shared" si="3"/>
        <v>1996.52</v>
      </c>
    </row>
    <row r="11" spans="1:21" x14ac:dyDescent="0.25">
      <c r="A11" s="5" t="s">
        <v>21</v>
      </c>
      <c r="B11" s="6" t="s">
        <v>58</v>
      </c>
      <c r="C11" s="6" t="s">
        <v>85</v>
      </c>
      <c r="D11" s="16">
        <v>3517.98</v>
      </c>
      <c r="E11" s="7"/>
      <c r="F11" s="7"/>
      <c r="G11" s="7"/>
      <c r="H11" s="7">
        <v>540</v>
      </c>
      <c r="I11" s="7">
        <v>136.80000000000001</v>
      </c>
      <c r="J11" s="7"/>
      <c r="K11" s="16">
        <f t="shared" si="0"/>
        <v>676.8</v>
      </c>
      <c r="L11" s="7"/>
      <c r="M11" s="7"/>
      <c r="N11" s="7"/>
      <c r="O11" s="16">
        <f t="shared" si="1"/>
        <v>4194.78</v>
      </c>
      <c r="P11" s="7">
        <v>114.85</v>
      </c>
      <c r="Q11" s="7">
        <v>386.98</v>
      </c>
      <c r="R11" s="7">
        <v>35.18</v>
      </c>
      <c r="S11" s="7">
        <v>126.65</v>
      </c>
      <c r="T11" s="16">
        <f t="shared" si="2"/>
        <v>663.66</v>
      </c>
      <c r="U11" s="16">
        <f t="shared" si="3"/>
        <v>3531.12</v>
      </c>
    </row>
    <row r="12" spans="1:21" x14ac:dyDescent="0.25">
      <c r="A12" s="5" t="s">
        <v>22</v>
      </c>
      <c r="B12" s="6" t="s">
        <v>62</v>
      </c>
      <c r="C12" s="6" t="s">
        <v>86</v>
      </c>
      <c r="D12" s="16">
        <v>1308.92</v>
      </c>
      <c r="E12" s="7"/>
      <c r="F12" s="7"/>
      <c r="G12" s="7"/>
      <c r="H12" s="7">
        <v>540</v>
      </c>
      <c r="I12" s="7">
        <v>284.39999999999998</v>
      </c>
      <c r="J12" s="7"/>
      <c r="K12" s="16">
        <f t="shared" si="0"/>
        <v>824.4</v>
      </c>
      <c r="L12" s="7"/>
      <c r="M12" s="7"/>
      <c r="N12" s="7"/>
      <c r="O12" s="16">
        <f t="shared" si="1"/>
        <v>2133.3200000000002</v>
      </c>
      <c r="P12" s="7"/>
      <c r="Q12" s="7"/>
      <c r="R12" s="7"/>
      <c r="S12" s="7"/>
      <c r="T12" s="16">
        <f t="shared" si="2"/>
        <v>0</v>
      </c>
      <c r="U12" s="16">
        <f t="shared" si="3"/>
        <v>2133.3200000000002</v>
      </c>
    </row>
    <row r="13" spans="1:21" x14ac:dyDescent="0.25">
      <c r="A13" s="6" t="s">
        <v>23</v>
      </c>
      <c r="B13" s="6" t="s">
        <v>63</v>
      </c>
      <c r="C13" s="6" t="s">
        <v>87</v>
      </c>
      <c r="D13" s="16">
        <v>9395.69</v>
      </c>
      <c r="E13" s="10"/>
      <c r="F13" s="7"/>
      <c r="G13" s="7"/>
      <c r="H13" s="7">
        <v>540</v>
      </c>
      <c r="I13" s="7"/>
      <c r="J13" s="7"/>
      <c r="K13" s="16">
        <f t="shared" si="0"/>
        <v>540</v>
      </c>
      <c r="L13" s="10"/>
      <c r="M13" s="7"/>
      <c r="N13" s="7"/>
      <c r="O13" s="16">
        <f t="shared" si="1"/>
        <v>9935.69</v>
      </c>
      <c r="P13" s="7">
        <v>1547.13</v>
      </c>
      <c r="Q13" s="7">
        <v>608.44000000000005</v>
      </c>
      <c r="R13" s="7"/>
      <c r="S13" s="7"/>
      <c r="T13" s="16">
        <f t="shared" si="2"/>
        <v>2155.5700000000002</v>
      </c>
      <c r="U13" s="16">
        <f t="shared" si="3"/>
        <v>7780.1200000000008</v>
      </c>
    </row>
    <row r="14" spans="1:21" x14ac:dyDescent="0.25">
      <c r="A14" s="6" t="s">
        <v>24</v>
      </c>
      <c r="B14" s="6" t="s">
        <v>58</v>
      </c>
      <c r="C14" s="6" t="s">
        <v>85</v>
      </c>
      <c r="D14" s="16">
        <v>3517.98</v>
      </c>
      <c r="E14" s="7"/>
      <c r="F14" s="7"/>
      <c r="G14" s="7"/>
      <c r="H14" s="7">
        <v>540</v>
      </c>
      <c r="I14" s="7">
        <v>284.39999999999998</v>
      </c>
      <c r="J14" s="7"/>
      <c r="K14" s="16">
        <f t="shared" si="0"/>
        <v>824.4</v>
      </c>
      <c r="L14" s="7"/>
      <c r="M14" s="7"/>
      <c r="N14" s="7"/>
      <c r="O14" s="16">
        <f t="shared" si="1"/>
        <v>4342.38</v>
      </c>
      <c r="P14" s="7">
        <v>114.85</v>
      </c>
      <c r="Q14" s="7">
        <v>386.98</v>
      </c>
      <c r="R14" s="7"/>
      <c r="S14" s="7">
        <v>126.65</v>
      </c>
      <c r="T14" s="16">
        <f t="shared" si="2"/>
        <v>628.48</v>
      </c>
      <c r="U14" s="16">
        <f t="shared" si="3"/>
        <v>3713.9</v>
      </c>
    </row>
    <row r="15" spans="1:21" x14ac:dyDescent="0.25">
      <c r="A15" s="11" t="s">
        <v>25</v>
      </c>
      <c r="B15" s="12" t="s">
        <v>64</v>
      </c>
      <c r="C15" s="12" t="s">
        <v>88</v>
      </c>
      <c r="D15" s="16">
        <v>9395.69</v>
      </c>
      <c r="E15" s="7"/>
      <c r="F15" s="7"/>
      <c r="G15" s="7"/>
      <c r="H15" s="7">
        <v>390</v>
      </c>
      <c r="I15" s="7">
        <v>106.6</v>
      </c>
      <c r="J15" s="7"/>
      <c r="K15" s="16">
        <f t="shared" si="0"/>
        <v>496.6</v>
      </c>
      <c r="L15" s="7"/>
      <c r="M15" s="7"/>
      <c r="N15" s="7"/>
      <c r="O15" s="16">
        <f t="shared" si="1"/>
        <v>9892.2900000000009</v>
      </c>
      <c r="P15" s="7">
        <v>1547.13</v>
      </c>
      <c r="Q15" s="7">
        <v>608.44000000000005</v>
      </c>
      <c r="R15" s="7"/>
      <c r="S15" s="7">
        <v>106.6</v>
      </c>
      <c r="T15" s="16">
        <f t="shared" si="2"/>
        <v>2262.17</v>
      </c>
      <c r="U15" s="16">
        <f t="shared" si="3"/>
        <v>7630.1200000000008</v>
      </c>
    </row>
    <row r="16" spans="1:21" x14ac:dyDescent="0.25">
      <c r="A16" s="5" t="s">
        <v>103</v>
      </c>
      <c r="B16" s="6" t="s">
        <v>62</v>
      </c>
      <c r="C16" s="6" t="s">
        <v>89</v>
      </c>
      <c r="D16" s="16">
        <v>1308.92</v>
      </c>
      <c r="E16" s="7"/>
      <c r="F16" s="7"/>
      <c r="G16" s="7"/>
      <c r="H16" s="7">
        <v>540</v>
      </c>
      <c r="I16" s="7">
        <v>288</v>
      </c>
      <c r="J16" s="7"/>
      <c r="K16" s="16">
        <f t="shared" si="0"/>
        <v>828</v>
      </c>
      <c r="L16" s="7"/>
      <c r="M16" s="7"/>
      <c r="N16" s="7"/>
      <c r="O16" s="16">
        <f t="shared" si="1"/>
        <v>2136.92</v>
      </c>
      <c r="P16" s="7"/>
      <c r="Q16" s="7"/>
      <c r="R16" s="7"/>
      <c r="S16" s="7"/>
      <c r="T16" s="16">
        <f t="shared" si="2"/>
        <v>0</v>
      </c>
      <c r="U16" s="16">
        <f t="shared" si="3"/>
        <v>2136.92</v>
      </c>
    </row>
    <row r="17" spans="1:21" x14ac:dyDescent="0.25">
      <c r="A17" s="11" t="s">
        <v>99</v>
      </c>
      <c r="B17" s="13" t="s">
        <v>65</v>
      </c>
      <c r="C17" s="13" t="s">
        <v>84</v>
      </c>
      <c r="D17" s="16"/>
      <c r="E17" s="7">
        <v>2713.11</v>
      </c>
      <c r="F17" s="7"/>
      <c r="G17" s="7"/>
      <c r="H17" s="7"/>
      <c r="I17" s="7"/>
      <c r="J17" s="7"/>
      <c r="K17" s="16">
        <f t="shared" si="0"/>
        <v>0</v>
      </c>
      <c r="L17" s="7">
        <v>904.37</v>
      </c>
      <c r="M17" s="7"/>
      <c r="N17" s="7">
        <v>2713.11</v>
      </c>
      <c r="O17" s="16">
        <f t="shared" si="1"/>
        <v>6330.59</v>
      </c>
      <c r="P17" s="7">
        <f>46.46+159.38</f>
        <v>205.84</v>
      </c>
      <c r="Q17" s="7"/>
      <c r="R17" s="7"/>
      <c r="S17" s="7"/>
      <c r="T17" s="16">
        <f t="shared" si="2"/>
        <v>205.84</v>
      </c>
      <c r="U17" s="16">
        <f t="shared" si="3"/>
        <v>6124.75</v>
      </c>
    </row>
    <row r="18" spans="1:21" x14ac:dyDescent="0.25">
      <c r="A18" s="5" t="s">
        <v>26</v>
      </c>
      <c r="B18" s="6" t="s">
        <v>58</v>
      </c>
      <c r="C18" s="6" t="s">
        <v>81</v>
      </c>
      <c r="D18" s="16">
        <v>3517.98</v>
      </c>
      <c r="E18" s="7"/>
      <c r="F18" s="7"/>
      <c r="G18" s="7"/>
      <c r="H18" s="7">
        <v>540</v>
      </c>
      <c r="I18" s="7">
        <v>284.39999999999998</v>
      </c>
      <c r="J18" s="7"/>
      <c r="K18" s="16">
        <f t="shared" si="0"/>
        <v>824.4</v>
      </c>
      <c r="L18" s="7"/>
      <c r="M18" s="7"/>
      <c r="N18" s="7"/>
      <c r="O18" s="16">
        <f t="shared" si="1"/>
        <v>4342.38</v>
      </c>
      <c r="P18" s="7">
        <v>114.85</v>
      </c>
      <c r="Q18" s="7">
        <v>386.98</v>
      </c>
      <c r="R18" s="7">
        <f>11+35.18</f>
        <v>46.18</v>
      </c>
      <c r="S18" s="7">
        <v>126.65</v>
      </c>
      <c r="T18" s="16">
        <f t="shared" si="2"/>
        <v>674.66</v>
      </c>
      <c r="U18" s="16">
        <f t="shared" si="3"/>
        <v>3667.7200000000003</v>
      </c>
    </row>
    <row r="19" spans="1:21" x14ac:dyDescent="0.25">
      <c r="A19" s="5" t="s">
        <v>27</v>
      </c>
      <c r="B19" s="6" t="s">
        <v>66</v>
      </c>
      <c r="C19" s="6" t="s">
        <v>86</v>
      </c>
      <c r="D19" s="16">
        <v>8046.12</v>
      </c>
      <c r="E19" s="7"/>
      <c r="F19" s="7"/>
      <c r="G19" s="7"/>
      <c r="H19" s="7">
        <v>540</v>
      </c>
      <c r="I19" s="7">
        <v>147.6</v>
      </c>
      <c r="J19" s="7"/>
      <c r="K19" s="16">
        <f t="shared" si="0"/>
        <v>687.6</v>
      </c>
      <c r="L19" s="7"/>
      <c r="M19" s="7"/>
      <c r="N19" s="7">
        <v>2719.13</v>
      </c>
      <c r="O19" s="16">
        <f t="shared" si="1"/>
        <v>11452.849999999999</v>
      </c>
      <c r="P19" s="7">
        <v>1923.76</v>
      </c>
      <c r="Q19" s="7">
        <v>608.44000000000005</v>
      </c>
      <c r="R19" s="7"/>
      <c r="S19" s="7">
        <v>147.6</v>
      </c>
      <c r="T19" s="16">
        <f t="shared" si="2"/>
        <v>2679.7999999999997</v>
      </c>
      <c r="U19" s="16">
        <f t="shared" si="3"/>
        <v>8773.0499999999993</v>
      </c>
    </row>
    <row r="20" spans="1:21" x14ac:dyDescent="0.25">
      <c r="A20" s="5" t="s">
        <v>28</v>
      </c>
      <c r="B20" s="6" t="s">
        <v>67</v>
      </c>
      <c r="C20" s="6" t="s">
        <v>85</v>
      </c>
      <c r="D20" s="16">
        <v>8046.12</v>
      </c>
      <c r="E20" s="7"/>
      <c r="F20" s="7"/>
      <c r="G20" s="7"/>
      <c r="H20" s="7">
        <v>540</v>
      </c>
      <c r="I20" s="7"/>
      <c r="J20" s="7"/>
      <c r="K20" s="16">
        <f t="shared" si="0"/>
        <v>540</v>
      </c>
      <c r="L20" s="7"/>
      <c r="M20" s="7"/>
      <c r="N20" s="7"/>
      <c r="O20" s="16">
        <f t="shared" si="1"/>
        <v>8586.119999999999</v>
      </c>
      <c r="P20" s="7">
        <v>1176</v>
      </c>
      <c r="Q20" s="7">
        <v>608.44000000000005</v>
      </c>
      <c r="R20" s="7">
        <v>22</v>
      </c>
      <c r="S20" s="7"/>
      <c r="T20" s="16">
        <f t="shared" si="2"/>
        <v>1806.44</v>
      </c>
      <c r="U20" s="16">
        <f t="shared" si="3"/>
        <v>6779.6799999999985</v>
      </c>
    </row>
    <row r="21" spans="1:21" x14ac:dyDescent="0.25">
      <c r="A21" s="5" t="s">
        <v>29</v>
      </c>
      <c r="B21" s="6" t="s">
        <v>68</v>
      </c>
      <c r="C21" s="6" t="s">
        <v>89</v>
      </c>
      <c r="D21" s="16">
        <v>12339.48</v>
      </c>
      <c r="E21" s="7"/>
      <c r="F21" s="7"/>
      <c r="G21" s="7"/>
      <c r="H21" s="7">
        <v>540</v>
      </c>
      <c r="I21" s="7"/>
      <c r="J21" s="7"/>
      <c r="K21" s="16">
        <f t="shared" si="0"/>
        <v>540</v>
      </c>
      <c r="L21" s="7"/>
      <c r="M21" s="7"/>
      <c r="N21" s="7">
        <v>1504.24</v>
      </c>
      <c r="O21" s="16">
        <f t="shared" si="1"/>
        <v>14383.72</v>
      </c>
      <c r="P21" s="7">
        <v>2770.34</v>
      </c>
      <c r="Q21" s="7">
        <v>608.44000000000005</v>
      </c>
      <c r="R21" s="7"/>
      <c r="S21" s="7"/>
      <c r="T21" s="16">
        <f t="shared" si="2"/>
        <v>3378.78</v>
      </c>
      <c r="U21" s="16">
        <f t="shared" si="3"/>
        <v>11004.939999999999</v>
      </c>
    </row>
    <row r="22" spans="1:21" x14ac:dyDescent="0.25">
      <c r="A22" s="5" t="s">
        <v>108</v>
      </c>
      <c r="B22" s="6" t="s">
        <v>62</v>
      </c>
      <c r="C22" s="6" t="s">
        <v>87</v>
      </c>
      <c r="D22" s="16">
        <v>1308.92</v>
      </c>
      <c r="E22" s="7"/>
      <c r="F22" s="7"/>
      <c r="G22" s="7"/>
      <c r="H22" s="7">
        <v>540</v>
      </c>
      <c r="I22" s="7">
        <v>288</v>
      </c>
      <c r="J22" s="7"/>
      <c r="K22" s="16">
        <f t="shared" si="0"/>
        <v>828</v>
      </c>
      <c r="L22" s="7"/>
      <c r="M22" s="7"/>
      <c r="N22" s="7"/>
      <c r="O22" s="16">
        <f t="shared" si="1"/>
        <v>2136.92</v>
      </c>
      <c r="P22" s="7"/>
      <c r="Q22" s="7"/>
      <c r="R22" s="7"/>
      <c r="S22" s="7"/>
      <c r="T22" s="16">
        <f t="shared" si="2"/>
        <v>0</v>
      </c>
      <c r="U22" s="16">
        <f t="shared" si="3"/>
        <v>2136.92</v>
      </c>
    </row>
    <row r="23" spans="1:21" x14ac:dyDescent="0.25">
      <c r="A23" s="5" t="s">
        <v>30</v>
      </c>
      <c r="B23" s="6" t="s">
        <v>62</v>
      </c>
      <c r="C23" s="6" t="s">
        <v>89</v>
      </c>
      <c r="D23" s="16">
        <v>1308.92</v>
      </c>
      <c r="E23" s="7"/>
      <c r="F23" s="7"/>
      <c r="G23" s="7"/>
      <c r="H23" s="7">
        <v>540</v>
      </c>
      <c r="I23" s="7">
        <v>147.6</v>
      </c>
      <c r="J23" s="7"/>
      <c r="K23" s="16">
        <f t="shared" si="0"/>
        <v>687.6</v>
      </c>
      <c r="L23" s="7"/>
      <c r="M23" s="7"/>
      <c r="N23" s="7"/>
      <c r="O23" s="16">
        <f t="shared" si="1"/>
        <v>1996.52</v>
      </c>
      <c r="P23" s="7"/>
      <c r="Q23" s="7"/>
      <c r="R23" s="7"/>
      <c r="S23" s="7"/>
      <c r="T23" s="16">
        <f t="shared" si="2"/>
        <v>0</v>
      </c>
      <c r="U23" s="16">
        <f t="shared" si="3"/>
        <v>1996.52</v>
      </c>
    </row>
    <row r="24" spans="1:21" x14ac:dyDescent="0.25">
      <c r="A24" s="5" t="s">
        <v>31</v>
      </c>
      <c r="B24" s="14" t="s">
        <v>69</v>
      </c>
      <c r="C24" s="6" t="s">
        <v>85</v>
      </c>
      <c r="D24" s="16">
        <v>12339.48</v>
      </c>
      <c r="E24" s="7"/>
      <c r="F24" s="7"/>
      <c r="G24" s="7"/>
      <c r="H24" s="7">
        <v>540</v>
      </c>
      <c r="I24" s="7">
        <v>288</v>
      </c>
      <c r="J24" s="7"/>
      <c r="K24" s="16">
        <f t="shared" si="0"/>
        <v>828</v>
      </c>
      <c r="L24" s="7"/>
      <c r="M24" s="7"/>
      <c r="N24" s="7"/>
      <c r="O24" s="16">
        <f t="shared" si="1"/>
        <v>13167.48</v>
      </c>
      <c r="P24" s="7">
        <v>2356.6799999999998</v>
      </c>
      <c r="Q24" s="7">
        <v>608.44000000000005</v>
      </c>
      <c r="R24" s="7">
        <v>11</v>
      </c>
      <c r="S24" s="7">
        <v>351</v>
      </c>
      <c r="T24" s="16">
        <f t="shared" si="2"/>
        <v>3327.12</v>
      </c>
      <c r="U24" s="16">
        <f t="shared" si="3"/>
        <v>9840.36</v>
      </c>
    </row>
    <row r="25" spans="1:21" x14ac:dyDescent="0.25">
      <c r="A25" s="5" t="s">
        <v>32</v>
      </c>
      <c r="B25" s="6" t="s">
        <v>70</v>
      </c>
      <c r="C25" s="6" t="s">
        <v>90</v>
      </c>
      <c r="D25" s="16">
        <v>3517.98</v>
      </c>
      <c r="E25" s="7"/>
      <c r="F25" s="7"/>
      <c r="G25" s="7">
        <f>474.93+79.15+92.35</f>
        <v>646.43000000000006</v>
      </c>
      <c r="H25" s="7">
        <v>540</v>
      </c>
      <c r="I25" s="7"/>
      <c r="J25" s="7"/>
      <c r="K25" s="16">
        <f t="shared" si="0"/>
        <v>540</v>
      </c>
      <c r="L25" s="7"/>
      <c r="M25" s="7"/>
      <c r="N25" s="7"/>
      <c r="O25" s="16">
        <f t="shared" si="1"/>
        <v>4704.41</v>
      </c>
      <c r="P25" s="7">
        <v>201.15</v>
      </c>
      <c r="Q25" s="7">
        <f>458.09</f>
        <v>458.09</v>
      </c>
      <c r="R25" s="7">
        <f>35.18</f>
        <v>35.18</v>
      </c>
      <c r="S25" s="7"/>
      <c r="T25" s="16">
        <f t="shared" si="2"/>
        <v>694.42</v>
      </c>
      <c r="U25" s="16">
        <f t="shared" si="3"/>
        <v>4009.99</v>
      </c>
    </row>
    <row r="26" spans="1:21" x14ac:dyDescent="0.25">
      <c r="A26" s="5" t="s">
        <v>33</v>
      </c>
      <c r="B26" s="6" t="s">
        <v>58</v>
      </c>
      <c r="C26" s="6" t="s">
        <v>81</v>
      </c>
      <c r="D26" s="16">
        <v>2228.0500000000002</v>
      </c>
      <c r="E26" s="7">
        <v>1289.93</v>
      </c>
      <c r="F26" s="7"/>
      <c r="G26" s="7"/>
      <c r="H26" s="7">
        <v>270</v>
      </c>
      <c r="I26" s="7"/>
      <c r="J26" s="7"/>
      <c r="K26" s="16">
        <f t="shared" si="0"/>
        <v>270</v>
      </c>
      <c r="L26" s="7">
        <f>31.74+1.32+5.29+435.48</f>
        <v>473.83000000000004</v>
      </c>
      <c r="M26" s="7"/>
      <c r="N26" s="7"/>
      <c r="O26" s="16">
        <f t="shared" si="1"/>
        <v>4261.8100000000004</v>
      </c>
      <c r="P26" s="7"/>
      <c r="Q26" s="7">
        <f>279.93+156.77</f>
        <v>436.70000000000005</v>
      </c>
      <c r="R26" s="7"/>
      <c r="S26" s="7"/>
      <c r="T26" s="16">
        <f t="shared" si="2"/>
        <v>436.70000000000005</v>
      </c>
      <c r="U26" s="16">
        <f t="shared" si="3"/>
        <v>3825.1100000000006</v>
      </c>
    </row>
    <row r="27" spans="1:21" x14ac:dyDescent="0.25">
      <c r="A27" s="5" t="s">
        <v>34</v>
      </c>
      <c r="B27" s="6" t="s">
        <v>67</v>
      </c>
      <c r="C27" s="6" t="s">
        <v>85</v>
      </c>
      <c r="D27" s="16">
        <v>8046.12</v>
      </c>
      <c r="E27" s="7"/>
      <c r="F27" s="7"/>
      <c r="G27" s="7"/>
      <c r="H27" s="7">
        <v>540</v>
      </c>
      <c r="I27" s="7"/>
      <c r="J27" s="7"/>
      <c r="K27" s="16">
        <f t="shared" si="0"/>
        <v>540</v>
      </c>
      <c r="L27" s="7"/>
      <c r="M27" s="7"/>
      <c r="N27" s="7"/>
      <c r="O27" s="16">
        <f t="shared" si="1"/>
        <v>8586.119999999999</v>
      </c>
      <c r="P27" s="7">
        <v>1176</v>
      </c>
      <c r="Q27" s="7">
        <v>608.44000000000005</v>
      </c>
      <c r="R27" s="7"/>
      <c r="S27" s="7"/>
      <c r="T27" s="16">
        <f t="shared" si="2"/>
        <v>1784.44</v>
      </c>
      <c r="U27" s="16">
        <f t="shared" si="3"/>
        <v>6801.6799999999985</v>
      </c>
    </row>
    <row r="28" spans="1:21" x14ac:dyDescent="0.25">
      <c r="A28" s="5" t="s">
        <v>110</v>
      </c>
      <c r="B28" s="6" t="s">
        <v>62</v>
      </c>
      <c r="C28" s="6" t="s">
        <v>93</v>
      </c>
      <c r="D28" s="16">
        <v>1308.92</v>
      </c>
      <c r="E28" s="7"/>
      <c r="F28" s="7"/>
      <c r="G28" s="7"/>
      <c r="H28" s="7">
        <v>540</v>
      </c>
      <c r="I28" s="7">
        <v>288</v>
      </c>
      <c r="J28" s="7"/>
      <c r="K28" s="16">
        <f t="shared" si="0"/>
        <v>828</v>
      </c>
      <c r="L28" s="7"/>
      <c r="M28" s="7"/>
      <c r="N28" s="7"/>
      <c r="O28" s="16">
        <f t="shared" si="1"/>
        <v>2136.92</v>
      </c>
      <c r="P28" s="7"/>
      <c r="Q28" s="7"/>
      <c r="R28" s="7"/>
      <c r="S28" s="7"/>
      <c r="T28" s="16">
        <f t="shared" si="2"/>
        <v>0</v>
      </c>
      <c r="U28" s="16">
        <f t="shared" si="3"/>
        <v>2136.92</v>
      </c>
    </row>
    <row r="29" spans="1:21" x14ac:dyDescent="0.25">
      <c r="A29" s="5" t="s">
        <v>107</v>
      </c>
      <c r="B29" s="15" t="s">
        <v>71</v>
      </c>
      <c r="C29" s="6" t="s">
        <v>87</v>
      </c>
      <c r="D29" s="16">
        <v>6791.55</v>
      </c>
      <c r="E29" s="7"/>
      <c r="F29" s="7"/>
      <c r="G29" s="7"/>
      <c r="H29" s="7">
        <v>540</v>
      </c>
      <c r="I29" s="7">
        <v>147.6</v>
      </c>
      <c r="J29" s="7"/>
      <c r="K29" s="16">
        <f t="shared" si="0"/>
        <v>687.6</v>
      </c>
      <c r="L29" s="7"/>
      <c r="M29" s="7"/>
      <c r="N29" s="7"/>
      <c r="O29" s="16">
        <f t="shared" si="1"/>
        <v>7479.1500000000005</v>
      </c>
      <c r="P29" s="7">
        <v>831</v>
      </c>
      <c r="Q29" s="7">
        <v>608.44000000000005</v>
      </c>
      <c r="R29" s="7"/>
      <c r="S29" s="7">
        <v>147.6</v>
      </c>
      <c r="T29" s="16">
        <f t="shared" si="2"/>
        <v>1587.04</v>
      </c>
      <c r="U29" s="16">
        <f t="shared" si="3"/>
        <v>5892.1100000000006</v>
      </c>
    </row>
    <row r="30" spans="1:21" x14ac:dyDescent="0.25">
      <c r="A30" s="11" t="s">
        <v>35</v>
      </c>
      <c r="B30" s="13" t="s">
        <v>59</v>
      </c>
      <c r="C30" s="6" t="s">
        <v>89</v>
      </c>
      <c r="D30" s="16">
        <v>3517.98</v>
      </c>
      <c r="E30" s="7"/>
      <c r="F30" s="7"/>
      <c r="G30" s="7">
        <f>94.99+15.83+105.54+17.59</f>
        <v>233.95000000000002</v>
      </c>
      <c r="H30" s="7">
        <v>540</v>
      </c>
      <c r="I30" s="7">
        <v>288</v>
      </c>
      <c r="J30" s="7"/>
      <c r="K30" s="16">
        <f t="shared" si="0"/>
        <v>828</v>
      </c>
      <c r="L30" s="7"/>
      <c r="M30" s="7"/>
      <c r="N30" s="7"/>
      <c r="O30" s="16">
        <f t="shared" si="1"/>
        <v>4579.93</v>
      </c>
      <c r="P30" s="7">
        <v>146.08000000000001</v>
      </c>
      <c r="Q30" s="7">
        <v>412.71</v>
      </c>
      <c r="R30" s="7"/>
      <c r="S30" s="7">
        <v>126.65</v>
      </c>
      <c r="T30" s="16">
        <f t="shared" si="2"/>
        <v>685.43999999999994</v>
      </c>
      <c r="U30" s="16">
        <f t="shared" si="3"/>
        <v>3894.4900000000002</v>
      </c>
    </row>
    <row r="31" spans="1:21" x14ac:dyDescent="0.25">
      <c r="A31" s="5" t="s">
        <v>36</v>
      </c>
      <c r="B31" s="6" t="s">
        <v>67</v>
      </c>
      <c r="C31" s="6" t="s">
        <v>85</v>
      </c>
      <c r="D31" s="16">
        <v>2950.24</v>
      </c>
      <c r="E31" s="7">
        <v>5095.88</v>
      </c>
      <c r="F31" s="7"/>
      <c r="G31" s="7"/>
      <c r="H31" s="7">
        <v>90</v>
      </c>
      <c r="I31" s="7"/>
      <c r="J31" s="7"/>
      <c r="K31" s="16">
        <f t="shared" si="0"/>
        <v>90</v>
      </c>
      <c r="L31" s="7">
        <f>6.71+1701.23</f>
        <v>1707.94</v>
      </c>
      <c r="M31" s="7"/>
      <c r="N31" s="7"/>
      <c r="O31" s="16">
        <f t="shared" si="1"/>
        <v>9844.06</v>
      </c>
      <c r="P31" s="7">
        <f>87.74+834.68</f>
        <v>922.42</v>
      </c>
      <c r="Q31" s="7">
        <v>608.44000000000005</v>
      </c>
      <c r="R31" s="7">
        <v>11</v>
      </c>
      <c r="S31" s="7"/>
      <c r="T31" s="16">
        <f t="shared" si="2"/>
        <v>1541.8600000000001</v>
      </c>
      <c r="U31" s="16">
        <f t="shared" si="3"/>
        <v>8302.1999999999989</v>
      </c>
    </row>
    <row r="32" spans="1:21" x14ac:dyDescent="0.25">
      <c r="A32" s="5" t="s">
        <v>37</v>
      </c>
      <c r="B32" s="6" t="s">
        <v>66</v>
      </c>
      <c r="C32" s="6" t="s">
        <v>86</v>
      </c>
      <c r="D32" s="16">
        <v>8046.12</v>
      </c>
      <c r="E32" s="10"/>
      <c r="F32" s="7"/>
      <c r="G32" s="7">
        <f>217.25+386.21+100.58+512.94+85.49</f>
        <v>1302.47</v>
      </c>
      <c r="H32" s="7">
        <v>540</v>
      </c>
      <c r="I32" s="7">
        <v>147.6</v>
      </c>
      <c r="J32" s="7"/>
      <c r="K32" s="16">
        <f t="shared" si="0"/>
        <v>687.6</v>
      </c>
      <c r="L32" s="7"/>
      <c r="M32" s="7"/>
      <c r="N32" s="7"/>
      <c r="O32" s="16">
        <f t="shared" si="1"/>
        <v>10036.19</v>
      </c>
      <c r="P32" s="7">
        <v>1534.18</v>
      </c>
      <c r="Q32" s="7">
        <v>608.44000000000005</v>
      </c>
      <c r="R32" s="7"/>
      <c r="S32" s="7">
        <v>147.6</v>
      </c>
      <c r="T32" s="16">
        <f t="shared" si="2"/>
        <v>2290.2199999999998</v>
      </c>
      <c r="U32" s="16">
        <f t="shared" si="3"/>
        <v>7745.9700000000012</v>
      </c>
    </row>
    <row r="33" spans="1:21" x14ac:dyDescent="0.25">
      <c r="A33" s="6" t="s">
        <v>38</v>
      </c>
      <c r="B33" s="6" t="s">
        <v>59</v>
      </c>
      <c r="C33" s="6" t="s">
        <v>89</v>
      </c>
      <c r="D33" s="16">
        <v>1407.19</v>
      </c>
      <c r="E33" s="7">
        <v>1876.26</v>
      </c>
      <c r="F33" s="7"/>
      <c r="G33" s="7">
        <f>52.77+386.98+8.8+64.5</f>
        <v>513.04999999999995</v>
      </c>
      <c r="H33" s="7">
        <v>90</v>
      </c>
      <c r="I33" s="7">
        <v>71.7</v>
      </c>
      <c r="J33" s="7"/>
      <c r="K33" s="16">
        <f t="shared" si="0"/>
        <v>161.69999999999999</v>
      </c>
      <c r="L33" s="7">
        <f>631.38+3.61+11.73+67.06</f>
        <v>713.78</v>
      </c>
      <c r="M33" s="7"/>
      <c r="N33" s="7"/>
      <c r="O33" s="16">
        <f t="shared" si="1"/>
        <v>4671.9799999999996</v>
      </c>
      <c r="P33" s="7"/>
      <c r="Q33" s="7">
        <v>261.74</v>
      </c>
      <c r="R33" s="7">
        <f>11</f>
        <v>11</v>
      </c>
      <c r="S33" s="7">
        <v>21.11</v>
      </c>
      <c r="T33" s="16">
        <f t="shared" si="2"/>
        <v>293.85000000000002</v>
      </c>
      <c r="U33" s="16">
        <f t="shared" si="3"/>
        <v>4378.1299999999992</v>
      </c>
    </row>
    <row r="34" spans="1:21" x14ac:dyDescent="0.25">
      <c r="A34" s="6" t="s">
        <v>39</v>
      </c>
      <c r="B34" s="6" t="s">
        <v>72</v>
      </c>
      <c r="C34" s="6" t="s">
        <v>86</v>
      </c>
      <c r="D34" s="16">
        <v>4524.4799999999996</v>
      </c>
      <c r="E34" s="7">
        <v>7815</v>
      </c>
      <c r="F34" s="7"/>
      <c r="G34" s="7"/>
      <c r="H34" s="7">
        <v>90</v>
      </c>
      <c r="I34" s="7">
        <v>172.83</v>
      </c>
      <c r="J34" s="7"/>
      <c r="K34" s="16">
        <f t="shared" si="0"/>
        <v>262.83000000000004</v>
      </c>
      <c r="L34" s="7">
        <v>2605</v>
      </c>
      <c r="M34" s="7"/>
      <c r="N34" s="7"/>
      <c r="O34" s="16">
        <f t="shared" si="1"/>
        <v>15207.31</v>
      </c>
      <c r="P34" s="7">
        <f>381.88+1828.82</f>
        <v>2210.6999999999998</v>
      </c>
      <c r="Q34" s="16">
        <v>608.44000000000005</v>
      </c>
      <c r="R34" s="7"/>
      <c r="S34" s="7">
        <v>74.040000000000006</v>
      </c>
      <c r="T34" s="16">
        <f t="shared" si="2"/>
        <v>2893.18</v>
      </c>
      <c r="U34" s="16">
        <f t="shared" si="3"/>
        <v>12314.13</v>
      </c>
    </row>
    <row r="35" spans="1:21" x14ac:dyDescent="0.25">
      <c r="A35" s="6" t="s">
        <v>40</v>
      </c>
      <c r="B35" s="6" t="s">
        <v>73</v>
      </c>
      <c r="C35" s="6" t="s">
        <v>83</v>
      </c>
      <c r="D35" s="16">
        <v>3517.98</v>
      </c>
      <c r="E35" s="7"/>
      <c r="F35" s="7"/>
      <c r="G35" s="7"/>
      <c r="H35" s="7">
        <v>540</v>
      </c>
      <c r="I35" s="7">
        <v>288</v>
      </c>
      <c r="J35" s="7"/>
      <c r="K35" s="16">
        <f t="shared" si="0"/>
        <v>828</v>
      </c>
      <c r="L35" s="7"/>
      <c r="M35" s="7"/>
      <c r="N35" s="7"/>
      <c r="O35" s="16">
        <f t="shared" si="1"/>
        <v>4345.9799999999996</v>
      </c>
      <c r="P35" s="7">
        <v>114.85</v>
      </c>
      <c r="Q35" s="7">
        <v>386.98</v>
      </c>
      <c r="R35" s="7">
        <f>11</f>
        <v>11</v>
      </c>
      <c r="S35" s="7">
        <v>126.65</v>
      </c>
      <c r="T35" s="16">
        <f t="shared" si="2"/>
        <v>639.48</v>
      </c>
      <c r="U35" s="16">
        <f t="shared" si="3"/>
        <v>3706.4999999999995</v>
      </c>
    </row>
    <row r="36" spans="1:21" x14ac:dyDescent="0.25">
      <c r="A36" s="6" t="s">
        <v>41</v>
      </c>
      <c r="B36" s="6" t="s">
        <v>74</v>
      </c>
      <c r="C36" s="6" t="s">
        <v>84</v>
      </c>
      <c r="D36" s="16">
        <v>12339.48</v>
      </c>
      <c r="E36" s="7"/>
      <c r="F36" s="7"/>
      <c r="G36" s="7"/>
      <c r="H36" s="7">
        <v>540</v>
      </c>
      <c r="I36" s="7">
        <v>136.80000000000001</v>
      </c>
      <c r="J36" s="7"/>
      <c r="K36" s="16">
        <f t="shared" si="0"/>
        <v>676.8</v>
      </c>
      <c r="L36" s="7"/>
      <c r="M36" s="7"/>
      <c r="N36" s="7"/>
      <c r="O36" s="16">
        <f t="shared" si="1"/>
        <v>13016.279999999999</v>
      </c>
      <c r="P36" s="7">
        <v>2356.6799999999998</v>
      </c>
      <c r="Q36" s="7">
        <v>608.44000000000005</v>
      </c>
      <c r="R36" s="7"/>
      <c r="S36" s="7">
        <v>136.80000000000001</v>
      </c>
      <c r="T36" s="16">
        <f t="shared" si="2"/>
        <v>3101.92</v>
      </c>
      <c r="U36" s="16">
        <f t="shared" si="3"/>
        <v>9914.3599999999988</v>
      </c>
    </row>
    <row r="37" spans="1:21" x14ac:dyDescent="0.25">
      <c r="A37" s="5" t="s">
        <v>106</v>
      </c>
      <c r="B37" s="6" t="s">
        <v>62</v>
      </c>
      <c r="C37" s="6" t="s">
        <v>91</v>
      </c>
      <c r="D37" s="16">
        <v>1308.92</v>
      </c>
      <c r="E37" s="7"/>
      <c r="F37" s="7"/>
      <c r="G37" s="7"/>
      <c r="H37" s="7">
        <v>540</v>
      </c>
      <c r="I37" s="7">
        <v>136.80000000000001</v>
      </c>
      <c r="J37" s="7"/>
      <c r="K37" s="16">
        <f t="shared" ref="K37:K56" si="4">H37+I37+J37</f>
        <v>676.8</v>
      </c>
      <c r="L37" s="7"/>
      <c r="M37" s="7"/>
      <c r="N37" s="7"/>
      <c r="O37" s="16">
        <f t="shared" ref="O37:O56" si="5">D37+E37+F37+G37+K37+L37+M37+N37</f>
        <v>1985.72</v>
      </c>
      <c r="P37" s="7"/>
      <c r="Q37" s="7"/>
      <c r="R37" s="7"/>
      <c r="S37" s="7"/>
      <c r="T37" s="16">
        <f t="shared" ref="T37:T56" si="6">P37+Q37+R37+S37</f>
        <v>0</v>
      </c>
      <c r="U37" s="16">
        <f t="shared" ref="U37:U56" si="7">O37-T37</f>
        <v>1985.72</v>
      </c>
    </row>
    <row r="38" spans="1:21" x14ac:dyDescent="0.25">
      <c r="A38" s="6" t="s">
        <v>42</v>
      </c>
      <c r="B38" s="6" t="s">
        <v>75</v>
      </c>
      <c r="C38" s="6" t="s">
        <v>91</v>
      </c>
      <c r="D38" s="16">
        <v>9395.69</v>
      </c>
      <c r="E38" s="7"/>
      <c r="F38" s="7"/>
      <c r="G38" s="7"/>
      <c r="H38" s="7">
        <v>540</v>
      </c>
      <c r="I38" s="7"/>
      <c r="J38" s="7"/>
      <c r="K38" s="16">
        <f t="shared" si="4"/>
        <v>540</v>
      </c>
      <c r="L38" s="7"/>
      <c r="M38" s="7"/>
      <c r="N38" s="7"/>
      <c r="O38" s="16">
        <f t="shared" si="5"/>
        <v>9935.69</v>
      </c>
      <c r="P38" s="7">
        <v>1547.13</v>
      </c>
      <c r="Q38" s="7">
        <v>608.44000000000005</v>
      </c>
      <c r="R38" s="7"/>
      <c r="S38" s="7"/>
      <c r="T38" s="16">
        <f t="shared" si="6"/>
        <v>2155.5700000000002</v>
      </c>
      <c r="U38" s="16">
        <f t="shared" si="7"/>
        <v>7780.1200000000008</v>
      </c>
    </row>
    <row r="39" spans="1:21" x14ac:dyDescent="0.25">
      <c r="A39" s="6" t="s">
        <v>43</v>
      </c>
      <c r="B39" s="6" t="s">
        <v>76</v>
      </c>
      <c r="C39" s="6" t="s">
        <v>91</v>
      </c>
      <c r="D39" s="16">
        <v>6791.55</v>
      </c>
      <c r="E39" s="7"/>
      <c r="F39" s="7"/>
      <c r="G39" s="7">
        <f>101.87+747.07+16.98+124.51</f>
        <v>990.43000000000006</v>
      </c>
      <c r="H39" s="7">
        <v>540</v>
      </c>
      <c r="I39" s="7">
        <v>147.6</v>
      </c>
      <c r="J39" s="7"/>
      <c r="K39" s="16">
        <f t="shared" si="4"/>
        <v>687.6</v>
      </c>
      <c r="L39" s="7"/>
      <c r="M39" s="7"/>
      <c r="N39" s="7"/>
      <c r="O39" s="16">
        <f t="shared" si="5"/>
        <v>8469.58</v>
      </c>
      <c r="P39" s="7">
        <v>1103.3599999999999</v>
      </c>
      <c r="Q39" s="7">
        <v>608.44000000000005</v>
      </c>
      <c r="R39" s="7"/>
      <c r="S39" s="7">
        <v>147.6</v>
      </c>
      <c r="T39" s="16">
        <f t="shared" si="6"/>
        <v>1859.3999999999999</v>
      </c>
      <c r="U39" s="16">
        <f t="shared" si="7"/>
        <v>6610.18</v>
      </c>
    </row>
    <row r="40" spans="1:21" x14ac:dyDescent="0.25">
      <c r="A40" s="6" t="s">
        <v>44</v>
      </c>
      <c r="B40" s="6" t="s">
        <v>70</v>
      </c>
      <c r="C40" s="6" t="s">
        <v>90</v>
      </c>
      <c r="D40" s="16">
        <v>3517.98</v>
      </c>
      <c r="E40" s="7"/>
      <c r="F40" s="7"/>
      <c r="G40" s="7">
        <f>463.2+17.59+80.13</f>
        <v>560.91999999999996</v>
      </c>
      <c r="H40" s="7">
        <v>540</v>
      </c>
      <c r="I40" s="7">
        <v>234</v>
      </c>
      <c r="J40" s="7"/>
      <c r="K40" s="16">
        <f t="shared" si="4"/>
        <v>774</v>
      </c>
      <c r="L40" s="7"/>
      <c r="M40" s="7"/>
      <c r="N40" s="7"/>
      <c r="O40" s="16">
        <f t="shared" si="5"/>
        <v>4852.8999999999996</v>
      </c>
      <c r="P40" s="7">
        <v>189.73</v>
      </c>
      <c r="Q40" s="7">
        <v>448.68</v>
      </c>
      <c r="R40" s="7">
        <v>11</v>
      </c>
      <c r="S40" s="7">
        <v>126.65</v>
      </c>
      <c r="T40" s="16">
        <f t="shared" si="6"/>
        <v>776.06</v>
      </c>
      <c r="U40" s="16">
        <f t="shared" si="7"/>
        <v>4076.8399999999997</v>
      </c>
    </row>
    <row r="41" spans="1:21" x14ac:dyDescent="0.25">
      <c r="A41" s="5" t="s">
        <v>45</v>
      </c>
      <c r="B41" s="6" t="s">
        <v>58</v>
      </c>
      <c r="C41" s="6" t="s">
        <v>81</v>
      </c>
      <c r="D41" s="16">
        <v>1993.52</v>
      </c>
      <c r="E41" s="7">
        <v>1524.46</v>
      </c>
      <c r="F41" s="7"/>
      <c r="G41" s="7"/>
      <c r="H41" s="7">
        <v>30</v>
      </c>
      <c r="I41" s="7">
        <v>85</v>
      </c>
      <c r="J41" s="7"/>
      <c r="K41" s="16">
        <f t="shared" si="4"/>
        <v>115</v>
      </c>
      <c r="L41" s="10">
        <f>14.65+2.44+513.85</f>
        <v>530.94000000000005</v>
      </c>
      <c r="M41" s="7"/>
      <c r="N41" s="7"/>
      <c r="O41" s="16">
        <f t="shared" si="5"/>
        <v>4163.92</v>
      </c>
      <c r="P41" s="7"/>
      <c r="Q41" s="7">
        <f>260.39+184.99</f>
        <v>445.38</v>
      </c>
      <c r="R41" s="7">
        <v>19.940000000000001</v>
      </c>
      <c r="S41" s="7">
        <v>63.32</v>
      </c>
      <c r="T41" s="16">
        <f t="shared" si="6"/>
        <v>528.64</v>
      </c>
      <c r="U41" s="16">
        <f t="shared" si="7"/>
        <v>3635.28</v>
      </c>
    </row>
    <row r="42" spans="1:21" x14ac:dyDescent="0.25">
      <c r="A42" s="6" t="s">
        <v>46</v>
      </c>
      <c r="B42" s="6" t="s">
        <v>58</v>
      </c>
      <c r="C42" s="6" t="s">
        <v>81</v>
      </c>
      <c r="D42" s="16">
        <v>3517.98</v>
      </c>
      <c r="E42" s="7"/>
      <c r="F42" s="7"/>
      <c r="G42" s="7">
        <f>84.43+386.98+14.07+64.5</f>
        <v>549.98</v>
      </c>
      <c r="H42" s="7">
        <v>540</v>
      </c>
      <c r="I42" s="7">
        <v>147.6</v>
      </c>
      <c r="J42" s="7"/>
      <c r="K42" s="16">
        <f t="shared" si="4"/>
        <v>687.6</v>
      </c>
      <c r="L42" s="7"/>
      <c r="M42" s="7"/>
      <c r="N42" s="7"/>
      <c r="O42" s="16">
        <f t="shared" si="5"/>
        <v>4755.5600000000004</v>
      </c>
      <c r="P42" s="7">
        <v>188.27</v>
      </c>
      <c r="Q42" s="7">
        <v>447.48</v>
      </c>
      <c r="R42" s="7">
        <f>11+35.18</f>
        <v>46.18</v>
      </c>
      <c r="S42" s="7">
        <v>126.65</v>
      </c>
      <c r="T42" s="16">
        <f t="shared" si="6"/>
        <v>808.57999999999993</v>
      </c>
      <c r="U42" s="16">
        <f t="shared" si="7"/>
        <v>3946.9800000000005</v>
      </c>
    </row>
    <row r="43" spans="1:21" x14ac:dyDescent="0.25">
      <c r="A43" s="5" t="s">
        <v>104</v>
      </c>
      <c r="B43" s="6" t="s">
        <v>59</v>
      </c>
      <c r="C43" s="6" t="s">
        <v>89</v>
      </c>
      <c r="D43" s="16">
        <v>3517.98</v>
      </c>
      <c r="E43" s="7"/>
      <c r="F43" s="7"/>
      <c r="G43" s="7">
        <f>52.77+386.98+8.8+64.5</f>
        <v>513.04999999999995</v>
      </c>
      <c r="H43" s="7">
        <v>540</v>
      </c>
      <c r="I43" s="7">
        <v>288</v>
      </c>
      <c r="J43" s="7"/>
      <c r="K43" s="16">
        <f t="shared" si="4"/>
        <v>828</v>
      </c>
      <c r="L43" s="7"/>
      <c r="M43" s="7"/>
      <c r="N43" s="7"/>
      <c r="O43" s="16">
        <f t="shared" si="5"/>
        <v>4859.03</v>
      </c>
      <c r="P43" s="7">
        <v>183.34</v>
      </c>
      <c r="Q43" s="7">
        <v>443.41</v>
      </c>
      <c r="R43" s="7">
        <f>11</f>
        <v>11</v>
      </c>
      <c r="S43" s="7">
        <v>126.65</v>
      </c>
      <c r="T43" s="16">
        <f t="shared" si="6"/>
        <v>764.4</v>
      </c>
      <c r="U43" s="16">
        <f t="shared" si="7"/>
        <v>4094.6299999999997</v>
      </c>
    </row>
    <row r="44" spans="1:21" x14ac:dyDescent="0.25">
      <c r="A44" s="6" t="s">
        <v>112</v>
      </c>
      <c r="B44" s="6" t="s">
        <v>66</v>
      </c>
      <c r="C44" s="6" t="s">
        <v>86</v>
      </c>
      <c r="D44" s="16">
        <v>8046.12</v>
      </c>
      <c r="E44" s="7"/>
      <c r="F44" s="7"/>
      <c r="G44" s="7"/>
      <c r="H44" s="7">
        <v>540</v>
      </c>
      <c r="I44" s="7"/>
      <c r="J44" s="7">
        <v>250</v>
      </c>
      <c r="K44" s="16">
        <f t="shared" si="4"/>
        <v>790</v>
      </c>
      <c r="L44" s="7"/>
      <c r="M44" s="7"/>
      <c r="N44" s="7"/>
      <c r="O44" s="16">
        <f t="shared" si="5"/>
        <v>8836.119999999999</v>
      </c>
      <c r="P44" s="7">
        <v>1123.8599999999999</v>
      </c>
      <c r="Q44" s="16">
        <v>608.44000000000005</v>
      </c>
      <c r="R44" s="7"/>
      <c r="S44" s="7"/>
      <c r="T44" s="16">
        <f t="shared" si="6"/>
        <v>1732.3</v>
      </c>
      <c r="U44" s="16">
        <f t="shared" si="7"/>
        <v>7103.8199999999988</v>
      </c>
    </row>
    <row r="45" spans="1:21" x14ac:dyDescent="0.25">
      <c r="A45" s="5" t="s">
        <v>47</v>
      </c>
      <c r="B45" s="6" t="s">
        <v>66</v>
      </c>
      <c r="C45" s="6" t="s">
        <v>86</v>
      </c>
      <c r="D45" s="16">
        <v>8046.12</v>
      </c>
      <c r="E45" s="7"/>
      <c r="F45" s="7"/>
      <c r="G45" s="7"/>
      <c r="H45" s="7">
        <v>540</v>
      </c>
      <c r="I45" s="7"/>
      <c r="J45" s="7"/>
      <c r="K45" s="16">
        <f t="shared" si="4"/>
        <v>540</v>
      </c>
      <c r="L45" s="7"/>
      <c r="M45" s="7"/>
      <c r="N45" s="7"/>
      <c r="O45" s="16">
        <f t="shared" si="5"/>
        <v>8586.119999999999</v>
      </c>
      <c r="P45" s="7">
        <v>1176</v>
      </c>
      <c r="Q45" s="7">
        <v>608.44000000000005</v>
      </c>
      <c r="R45" s="7"/>
      <c r="S45" s="7"/>
      <c r="T45" s="16">
        <f t="shared" si="6"/>
        <v>1784.44</v>
      </c>
      <c r="U45" s="16">
        <f t="shared" si="7"/>
        <v>6801.6799999999985</v>
      </c>
    </row>
    <row r="46" spans="1:21" x14ac:dyDescent="0.25">
      <c r="A46" s="5" t="s">
        <v>48</v>
      </c>
      <c r="B46" s="6" t="s">
        <v>66</v>
      </c>
      <c r="C46" s="6" t="s">
        <v>85</v>
      </c>
      <c r="D46" s="16">
        <v>8046.12</v>
      </c>
      <c r="E46" s="7"/>
      <c r="F46" s="7"/>
      <c r="G46" s="7">
        <f>217.25+386.21+100.58+512.94+85.49</f>
        <v>1302.47</v>
      </c>
      <c r="H46" s="7">
        <v>540</v>
      </c>
      <c r="I46" s="7"/>
      <c r="J46" s="7"/>
      <c r="K46" s="16">
        <f t="shared" si="4"/>
        <v>540</v>
      </c>
      <c r="L46" s="7"/>
      <c r="M46" s="7"/>
      <c r="N46" s="7"/>
      <c r="O46" s="16">
        <f t="shared" si="5"/>
        <v>9888.59</v>
      </c>
      <c r="P46" s="7">
        <v>1534.18</v>
      </c>
      <c r="Q46" s="7">
        <v>608.44000000000005</v>
      </c>
      <c r="R46" s="7">
        <v>11</v>
      </c>
      <c r="S46" s="7"/>
      <c r="T46" s="16">
        <f t="shared" si="6"/>
        <v>2153.62</v>
      </c>
      <c r="U46" s="16">
        <f t="shared" si="7"/>
        <v>7734.97</v>
      </c>
    </row>
    <row r="47" spans="1:21" x14ac:dyDescent="0.25">
      <c r="A47" s="5" t="s">
        <v>49</v>
      </c>
      <c r="B47" s="6" t="s">
        <v>58</v>
      </c>
      <c r="C47" s="6" t="s">
        <v>81</v>
      </c>
      <c r="D47" s="16">
        <v>3517.98</v>
      </c>
      <c r="E47" s="7"/>
      <c r="F47" s="7"/>
      <c r="G47" s="7"/>
      <c r="H47" s="7">
        <v>540</v>
      </c>
      <c r="I47" s="7">
        <v>288</v>
      </c>
      <c r="J47" s="7"/>
      <c r="K47" s="16">
        <f t="shared" si="4"/>
        <v>828</v>
      </c>
      <c r="L47" s="7"/>
      <c r="M47" s="7"/>
      <c r="N47" s="7"/>
      <c r="O47" s="16">
        <f t="shared" si="5"/>
        <v>4345.9799999999996</v>
      </c>
      <c r="P47" s="7">
        <v>63.59</v>
      </c>
      <c r="Q47" s="7">
        <v>386.98</v>
      </c>
      <c r="R47" s="7">
        <f>33+35.18</f>
        <v>68.180000000000007</v>
      </c>
      <c r="S47" s="7">
        <v>126.65</v>
      </c>
      <c r="T47" s="16">
        <f t="shared" si="6"/>
        <v>645.4</v>
      </c>
      <c r="U47" s="16">
        <f t="shared" si="7"/>
        <v>3700.5799999999995</v>
      </c>
    </row>
    <row r="48" spans="1:21" x14ac:dyDescent="0.25">
      <c r="A48" s="5" t="s">
        <v>50</v>
      </c>
      <c r="B48" s="6" t="s">
        <v>66</v>
      </c>
      <c r="C48" s="6" t="s">
        <v>85</v>
      </c>
      <c r="D48" s="16">
        <v>8046.12</v>
      </c>
      <c r="E48" s="7"/>
      <c r="F48" s="7"/>
      <c r="G48" s="7">
        <f>217.25+386.21+100.58+512.94+85.49</f>
        <v>1302.47</v>
      </c>
      <c r="H48" s="7">
        <v>540</v>
      </c>
      <c r="I48" s="7">
        <v>147.6</v>
      </c>
      <c r="J48" s="7"/>
      <c r="K48" s="16">
        <f t="shared" si="4"/>
        <v>687.6</v>
      </c>
      <c r="L48" s="7"/>
      <c r="M48" s="7"/>
      <c r="N48" s="7"/>
      <c r="O48" s="16">
        <f t="shared" si="5"/>
        <v>10036.19</v>
      </c>
      <c r="P48" s="7">
        <v>1534.18</v>
      </c>
      <c r="Q48" s="7">
        <v>608.44000000000005</v>
      </c>
      <c r="R48" s="7"/>
      <c r="S48" s="7">
        <v>147.6</v>
      </c>
      <c r="T48" s="16">
        <f t="shared" si="6"/>
        <v>2290.2199999999998</v>
      </c>
      <c r="U48" s="16">
        <f t="shared" si="7"/>
        <v>7745.9700000000012</v>
      </c>
    </row>
    <row r="49" spans="1:21" x14ac:dyDescent="0.25">
      <c r="A49" s="5" t="s">
        <v>51</v>
      </c>
      <c r="B49" s="6" t="s">
        <v>77</v>
      </c>
      <c r="C49" s="6" t="s">
        <v>83</v>
      </c>
      <c r="D49" s="16">
        <v>6791.55</v>
      </c>
      <c r="E49" s="7"/>
      <c r="F49" s="7"/>
      <c r="G49" s="7">
        <f>101.87+747.07+16.98+21.22+128.05</f>
        <v>1015.19</v>
      </c>
      <c r="H49" s="7">
        <v>540</v>
      </c>
      <c r="I49" s="7">
        <v>136.80000000000001</v>
      </c>
      <c r="J49" s="7"/>
      <c r="K49" s="16">
        <f t="shared" si="4"/>
        <v>676.8</v>
      </c>
      <c r="L49" s="7"/>
      <c r="M49" s="7"/>
      <c r="N49" s="7"/>
      <c r="O49" s="16">
        <f t="shared" si="5"/>
        <v>8483.5399999999991</v>
      </c>
      <c r="P49" s="7">
        <v>1110.17</v>
      </c>
      <c r="Q49" s="7">
        <v>608.44000000000005</v>
      </c>
      <c r="R49" s="7"/>
      <c r="S49" s="7">
        <v>136.80000000000001</v>
      </c>
      <c r="T49" s="16">
        <f t="shared" si="6"/>
        <v>1855.41</v>
      </c>
      <c r="U49" s="16">
        <f t="shared" si="7"/>
        <v>6628.1299999999992</v>
      </c>
    </row>
    <row r="50" spans="1:21" x14ac:dyDescent="0.25">
      <c r="A50" s="5" t="s">
        <v>52</v>
      </c>
      <c r="B50" s="6" t="s">
        <v>78</v>
      </c>
      <c r="C50" s="6" t="s">
        <v>82</v>
      </c>
      <c r="D50" s="16">
        <v>8769.31</v>
      </c>
      <c r="E50" s="7"/>
      <c r="F50" s="7"/>
      <c r="G50" s="7"/>
      <c r="H50" s="7">
        <v>540</v>
      </c>
      <c r="I50" s="7">
        <v>131.19999999999999</v>
      </c>
      <c r="J50" s="7"/>
      <c r="K50" s="16">
        <f t="shared" si="4"/>
        <v>671.2</v>
      </c>
      <c r="L50" s="7"/>
      <c r="M50" s="7"/>
      <c r="N50" s="7"/>
      <c r="O50" s="16">
        <f t="shared" si="5"/>
        <v>9440.51</v>
      </c>
      <c r="P50" s="7">
        <v>1374.88</v>
      </c>
      <c r="Q50" s="7">
        <v>608.44000000000005</v>
      </c>
      <c r="R50" s="7"/>
      <c r="S50" s="7">
        <v>131.19999999999999</v>
      </c>
      <c r="T50" s="16">
        <f t="shared" si="6"/>
        <v>2114.52</v>
      </c>
      <c r="U50" s="16">
        <f t="shared" si="7"/>
        <v>7325.99</v>
      </c>
    </row>
    <row r="51" spans="1:21" x14ac:dyDescent="0.25">
      <c r="A51" s="6" t="s">
        <v>53</v>
      </c>
      <c r="B51" s="6" t="s">
        <v>73</v>
      </c>
      <c r="C51" s="6" t="s">
        <v>83</v>
      </c>
      <c r="D51" s="16">
        <v>1289.93</v>
      </c>
      <c r="E51" s="7">
        <v>2228.0500000000002</v>
      </c>
      <c r="F51" s="7"/>
      <c r="G51" s="7"/>
      <c r="H51" s="7">
        <v>90</v>
      </c>
      <c r="I51" s="7">
        <v>72</v>
      </c>
      <c r="J51" s="7"/>
      <c r="K51" s="16">
        <f t="shared" si="4"/>
        <v>162</v>
      </c>
      <c r="L51" s="7">
        <f>23.53+4.03+744.25</f>
        <v>771.81</v>
      </c>
      <c r="M51" s="7"/>
      <c r="N51" s="7"/>
      <c r="O51" s="16">
        <f t="shared" si="5"/>
        <v>4451.7900000000009</v>
      </c>
      <c r="P51" s="7">
        <f>21.11+55.92</f>
        <v>77.03</v>
      </c>
      <c r="Q51" s="7">
        <f>12.9+327.47</f>
        <v>340.37</v>
      </c>
      <c r="R51" s="7"/>
      <c r="S51" s="7">
        <v>141.88999999999999</v>
      </c>
      <c r="T51" s="16">
        <f t="shared" si="6"/>
        <v>559.29</v>
      </c>
      <c r="U51" s="16">
        <f t="shared" si="7"/>
        <v>3892.5000000000009</v>
      </c>
    </row>
    <row r="52" spans="1:21" x14ac:dyDescent="0.25">
      <c r="A52" s="6" t="s">
        <v>54</v>
      </c>
      <c r="B52" s="6" t="s">
        <v>79</v>
      </c>
      <c r="C52" s="6" t="s">
        <v>87</v>
      </c>
      <c r="D52" s="16">
        <v>6791.55</v>
      </c>
      <c r="E52" s="7"/>
      <c r="F52" s="7"/>
      <c r="G52" s="7">
        <f>183.37+30.56+203.75+33.96</f>
        <v>451.64</v>
      </c>
      <c r="H52" s="7">
        <v>540</v>
      </c>
      <c r="I52" s="7">
        <v>147.6</v>
      </c>
      <c r="J52" s="7"/>
      <c r="K52" s="16">
        <f t="shared" si="4"/>
        <v>687.6</v>
      </c>
      <c r="L52" s="7"/>
      <c r="M52" s="7"/>
      <c r="N52" s="7"/>
      <c r="O52" s="16">
        <f t="shared" si="5"/>
        <v>7930.7900000000009</v>
      </c>
      <c r="P52" s="7">
        <v>955.2</v>
      </c>
      <c r="Q52" s="7">
        <v>608.44000000000005</v>
      </c>
      <c r="R52" s="7"/>
      <c r="S52" s="7">
        <v>147.6</v>
      </c>
      <c r="T52" s="16">
        <f t="shared" si="6"/>
        <v>1711.24</v>
      </c>
      <c r="U52" s="16">
        <f t="shared" si="7"/>
        <v>6219.5500000000011</v>
      </c>
    </row>
    <row r="53" spans="1:21" x14ac:dyDescent="0.25">
      <c r="A53" s="5" t="s">
        <v>111</v>
      </c>
      <c r="B53" s="6" t="s">
        <v>62</v>
      </c>
      <c r="C53" s="6" t="s">
        <v>85</v>
      </c>
      <c r="D53" s="16">
        <v>1308.92</v>
      </c>
      <c r="E53" s="7"/>
      <c r="F53" s="7"/>
      <c r="G53" s="7"/>
      <c r="H53" s="7">
        <v>540</v>
      </c>
      <c r="I53" s="7">
        <v>288</v>
      </c>
      <c r="J53" s="7"/>
      <c r="K53" s="16">
        <f t="shared" si="4"/>
        <v>828</v>
      </c>
      <c r="L53" s="7"/>
      <c r="M53" s="7"/>
      <c r="N53" s="7"/>
      <c r="O53" s="16">
        <f t="shared" si="5"/>
        <v>2136.92</v>
      </c>
      <c r="P53" s="7"/>
      <c r="Q53" s="7"/>
      <c r="R53" s="7"/>
      <c r="S53" s="7"/>
      <c r="T53" s="16">
        <f t="shared" si="6"/>
        <v>0</v>
      </c>
      <c r="U53" s="16">
        <f t="shared" si="7"/>
        <v>2136.92</v>
      </c>
    </row>
    <row r="54" spans="1:21" x14ac:dyDescent="0.25">
      <c r="A54" s="5" t="s">
        <v>55</v>
      </c>
      <c r="B54" s="6" t="s">
        <v>58</v>
      </c>
      <c r="C54" s="6" t="s">
        <v>85</v>
      </c>
      <c r="D54" s="16">
        <v>3517.98</v>
      </c>
      <c r="E54" s="7"/>
      <c r="F54" s="7"/>
      <c r="G54" s="7"/>
      <c r="H54" s="7">
        <v>540</v>
      </c>
      <c r="I54" s="7"/>
      <c r="J54" s="7"/>
      <c r="K54" s="16">
        <f t="shared" si="4"/>
        <v>540</v>
      </c>
      <c r="L54" s="7"/>
      <c r="M54" s="7"/>
      <c r="N54" s="7"/>
      <c r="O54" s="16">
        <f t="shared" si="5"/>
        <v>4057.98</v>
      </c>
      <c r="P54" s="7">
        <v>114.85</v>
      </c>
      <c r="Q54" s="7">
        <v>386.98</v>
      </c>
      <c r="R54" s="7">
        <v>11</v>
      </c>
      <c r="S54" s="7"/>
      <c r="T54" s="16">
        <f t="shared" si="6"/>
        <v>512.83000000000004</v>
      </c>
      <c r="U54" s="16">
        <f t="shared" si="7"/>
        <v>3545.15</v>
      </c>
    </row>
    <row r="55" spans="1:21" x14ac:dyDescent="0.25">
      <c r="A55" s="6" t="s">
        <v>56</v>
      </c>
      <c r="B55" s="6" t="s">
        <v>80</v>
      </c>
      <c r="C55" s="6" t="s">
        <v>89</v>
      </c>
      <c r="D55" s="16">
        <v>6791.55</v>
      </c>
      <c r="E55" s="7"/>
      <c r="F55" s="7"/>
      <c r="G55" s="7">
        <f>101.87+747.07+16.98+124.51</f>
        <v>990.43000000000006</v>
      </c>
      <c r="H55" s="7">
        <v>540</v>
      </c>
      <c r="I55" s="7"/>
      <c r="J55" s="7"/>
      <c r="K55" s="16">
        <f t="shared" si="4"/>
        <v>540</v>
      </c>
      <c r="L55" s="7"/>
      <c r="M55" s="7"/>
      <c r="N55" s="7"/>
      <c r="O55" s="16">
        <f t="shared" si="5"/>
        <v>8321.98</v>
      </c>
      <c r="P55" s="7">
        <v>1103.3599999999999</v>
      </c>
      <c r="Q55" s="7">
        <v>608.44000000000005</v>
      </c>
      <c r="R55" s="7"/>
      <c r="S55" s="7"/>
      <c r="T55" s="16">
        <f t="shared" si="6"/>
        <v>1711.8</v>
      </c>
      <c r="U55" s="16">
        <f t="shared" si="7"/>
        <v>6610.1799999999994</v>
      </c>
    </row>
    <row r="56" spans="1:21" x14ac:dyDescent="0.25">
      <c r="A56" s="6" t="s">
        <v>57</v>
      </c>
      <c r="B56" s="6" t="s">
        <v>62</v>
      </c>
      <c r="C56" s="6" t="s">
        <v>91</v>
      </c>
      <c r="D56" s="7">
        <v>1308.92</v>
      </c>
      <c r="E56" s="7"/>
      <c r="F56" s="7"/>
      <c r="G56" s="7"/>
      <c r="H56" s="7">
        <v>540</v>
      </c>
      <c r="I56" s="16">
        <v>288</v>
      </c>
      <c r="J56" s="7"/>
      <c r="K56" s="16">
        <f t="shared" si="4"/>
        <v>828</v>
      </c>
      <c r="L56" s="16"/>
      <c r="M56" s="7"/>
      <c r="N56" s="7"/>
      <c r="O56" s="7">
        <f t="shared" si="5"/>
        <v>2136.92</v>
      </c>
      <c r="P56" s="7"/>
      <c r="Q56" s="16"/>
      <c r="R56" s="16"/>
      <c r="S56" s="16"/>
      <c r="T56" s="7">
        <f t="shared" si="6"/>
        <v>0</v>
      </c>
      <c r="U56" s="7">
        <f t="shared" si="7"/>
        <v>2136.92</v>
      </c>
    </row>
    <row r="57" spans="1:21" x14ac:dyDescent="0.25">
      <c r="H57" s="1">
        <f>SUM(H5:H56)</f>
        <v>24810</v>
      </c>
      <c r="I57" s="1">
        <f>SUM(I5:I56)</f>
        <v>7335.3300000000017</v>
      </c>
      <c r="J57" s="1"/>
      <c r="K57" s="1"/>
      <c r="O57" s="3"/>
      <c r="U57" s="1">
        <f>SUM(U5:U56)</f>
        <v>287140.18</v>
      </c>
    </row>
    <row r="58" spans="1:21" x14ac:dyDescent="0.25">
      <c r="H58" s="1"/>
      <c r="I58" s="1"/>
      <c r="J58" s="1"/>
      <c r="K58" s="1"/>
      <c r="O58" s="3"/>
      <c r="U58" s="1"/>
    </row>
    <row r="59" spans="1:21" x14ac:dyDescent="0.25">
      <c r="O59" s="3"/>
    </row>
    <row r="60" spans="1:21" ht="19.5" x14ac:dyDescent="0.3">
      <c r="A60" s="17" t="s">
        <v>95</v>
      </c>
      <c r="O60" s="3"/>
    </row>
    <row r="61" spans="1:21" ht="19.5" x14ac:dyDescent="0.25">
      <c r="A61" s="20" t="s">
        <v>0</v>
      </c>
      <c r="B61" s="21" t="s">
        <v>1</v>
      </c>
      <c r="C61" s="21" t="s">
        <v>2</v>
      </c>
      <c r="D61" s="21" t="s">
        <v>98</v>
      </c>
      <c r="E61" s="21" t="s">
        <v>97</v>
      </c>
      <c r="F61" s="21" t="s">
        <v>10</v>
      </c>
      <c r="G61" s="20" t="s">
        <v>11</v>
      </c>
      <c r="H61" s="18"/>
      <c r="I61" s="18"/>
      <c r="J61" s="18"/>
      <c r="K61" s="21" t="s">
        <v>96</v>
      </c>
      <c r="L61" s="19"/>
      <c r="M61" s="19"/>
      <c r="N61" s="19"/>
      <c r="O61" s="19"/>
      <c r="P61" s="19"/>
      <c r="Q61" s="19"/>
      <c r="R61" s="19"/>
      <c r="S61" s="19"/>
    </row>
    <row r="62" spans="1:21" x14ac:dyDescent="0.25">
      <c r="A62" s="5" t="s">
        <v>33</v>
      </c>
      <c r="B62" s="6" t="s">
        <v>58</v>
      </c>
      <c r="C62" s="6" t="s">
        <v>81</v>
      </c>
      <c r="D62" s="16">
        <v>1781.05</v>
      </c>
      <c r="O62" s="3"/>
    </row>
    <row r="63" spans="1:21" x14ac:dyDescent="0.25">
      <c r="A63" s="5" t="s">
        <v>36</v>
      </c>
      <c r="B63" s="6" t="s">
        <v>67</v>
      </c>
      <c r="C63" s="6" t="s">
        <v>85</v>
      </c>
      <c r="D63" s="16">
        <v>4023.06</v>
      </c>
      <c r="O63" s="3"/>
    </row>
    <row r="64" spans="1:21" x14ac:dyDescent="0.25">
      <c r="A64" s="6" t="s">
        <v>53</v>
      </c>
      <c r="B64" s="6" t="s">
        <v>73</v>
      </c>
      <c r="C64" s="6" t="s">
        <v>83</v>
      </c>
      <c r="D64" s="16">
        <v>1786.44</v>
      </c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</sheetData>
  <autoFilter ref="A4:U64"/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showGridLines="0" zoomScaleNormal="100" workbookViewId="0">
      <pane xSplit="1" ySplit="4" topLeftCell="B60" activePane="bottomRight" state="frozen"/>
      <selection pane="topRight" activeCell="B1" sqref="B1"/>
      <selection pane="bottomLeft" activeCell="A5" sqref="A5"/>
      <selection pane="bottomRight" activeCell="A70" sqref="A70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140625" style="2" customWidth="1"/>
    <col min="15" max="15" width="16.28515625" style="2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92</v>
      </c>
      <c r="U4" s="20" t="s">
        <v>13</v>
      </c>
      <c r="V4" s="21" t="s">
        <v>14</v>
      </c>
    </row>
    <row r="5" spans="1:22" x14ac:dyDescent="0.25">
      <c r="A5" s="5" t="s">
        <v>16</v>
      </c>
      <c r="B5" s="6" t="s">
        <v>58</v>
      </c>
      <c r="C5" s="6" t="s">
        <v>81</v>
      </c>
      <c r="D5" s="16">
        <f>3623.52+49.26+105.54</f>
        <v>3778.32</v>
      </c>
      <c r="E5" s="7"/>
      <c r="F5" s="7"/>
      <c r="G5" s="7">
        <f>0.1+0.02</f>
        <v>0.12000000000000001</v>
      </c>
      <c r="H5" s="7">
        <v>660</v>
      </c>
      <c r="I5" s="7">
        <v>528</v>
      </c>
      <c r="J5" s="7">
        <v>366.27</v>
      </c>
      <c r="K5" s="7"/>
      <c r="L5" s="16">
        <f>H5+I5+K5</f>
        <v>1188</v>
      </c>
      <c r="M5" s="7">
        <v>75.34</v>
      </c>
      <c r="N5" s="7"/>
      <c r="O5" s="7"/>
      <c r="P5" s="16">
        <f t="shared" ref="P5:P36" si="0">D5+E5+F5+G5+L5+M5+N5+O5</f>
        <v>5041.7800000000007</v>
      </c>
      <c r="Q5" s="7">
        <v>158.71</v>
      </c>
      <c r="R5" s="7">
        <v>423.12</v>
      </c>
      <c r="S5" s="7">
        <f>7.25+120.78+11+36.24</f>
        <v>175.27</v>
      </c>
      <c r="T5" s="7">
        <v>159.43</v>
      </c>
      <c r="U5" s="16">
        <f t="shared" ref="U5:U36" si="1">Q5+R5+S5+T5</f>
        <v>916.53</v>
      </c>
      <c r="V5" s="16">
        <f t="shared" ref="V5:V36" si="2">P5-U5</f>
        <v>4125.2500000000009</v>
      </c>
    </row>
    <row r="6" spans="1:22" x14ac:dyDescent="0.25">
      <c r="A6" s="5" t="s">
        <v>17</v>
      </c>
      <c r="B6" s="6" t="s">
        <v>59</v>
      </c>
      <c r="C6" s="6" t="s">
        <v>82</v>
      </c>
      <c r="D6" s="16">
        <f>3623.52+105.54+105.54</f>
        <v>3834.6</v>
      </c>
      <c r="E6" s="7"/>
      <c r="F6" s="7"/>
      <c r="G6" s="7">
        <f>0.86+57.98+9.66+0.14</f>
        <v>68.64</v>
      </c>
      <c r="H6" s="7">
        <v>660</v>
      </c>
      <c r="I6" s="7"/>
      <c r="J6" s="7"/>
      <c r="K6" s="7">
        <f>260+20</f>
        <v>280</v>
      </c>
      <c r="L6" s="16">
        <f>H6+I6+K6</f>
        <v>940</v>
      </c>
      <c r="M6" s="7"/>
      <c r="N6" s="7"/>
      <c r="O6" s="7"/>
      <c r="P6" s="16">
        <f t="shared" si="0"/>
        <v>4843.24</v>
      </c>
      <c r="Q6" s="7">
        <v>109.16</v>
      </c>
      <c r="R6" s="7">
        <v>429.16</v>
      </c>
      <c r="S6" s="7">
        <f>1.81+120.78</f>
        <v>122.59</v>
      </c>
      <c r="T6" s="7"/>
      <c r="U6" s="16">
        <f t="shared" si="1"/>
        <v>660.91000000000008</v>
      </c>
      <c r="V6" s="16">
        <f t="shared" si="2"/>
        <v>4182.33</v>
      </c>
    </row>
    <row r="7" spans="1:22" x14ac:dyDescent="0.25">
      <c r="A7" s="8" t="s">
        <v>18</v>
      </c>
      <c r="B7" s="9" t="s">
        <v>60</v>
      </c>
      <c r="C7" s="9" t="s">
        <v>83</v>
      </c>
      <c r="D7" s="16">
        <f>12709.66+370.18+370.18</f>
        <v>13450.02</v>
      </c>
      <c r="E7" s="7"/>
      <c r="F7" s="7"/>
      <c r="G7" s="7"/>
      <c r="H7" s="7">
        <f>660+90</f>
        <v>750</v>
      </c>
      <c r="I7" s="7"/>
      <c r="J7" s="7"/>
      <c r="K7" s="7"/>
      <c r="L7" s="16">
        <f t="shared" ref="L7:L56" si="3">H7+I7+K7</f>
        <v>750</v>
      </c>
      <c r="M7" s="7"/>
      <c r="N7" s="7"/>
      <c r="O7" s="7"/>
      <c r="P7" s="16">
        <f t="shared" si="0"/>
        <v>14200.02</v>
      </c>
      <c r="Q7" s="7">
        <v>2609.94</v>
      </c>
      <c r="R7" s="7">
        <v>608.44000000000005</v>
      </c>
      <c r="S7" s="7"/>
      <c r="T7" s="7"/>
      <c r="U7" s="16">
        <f t="shared" si="1"/>
        <v>3218.38</v>
      </c>
      <c r="V7" s="16">
        <f t="shared" si="2"/>
        <v>10981.64</v>
      </c>
    </row>
    <row r="8" spans="1:22" x14ac:dyDescent="0.25">
      <c r="A8" s="8" t="s">
        <v>19</v>
      </c>
      <c r="B8" s="9" t="s">
        <v>61</v>
      </c>
      <c r="C8" s="9" t="s">
        <v>84</v>
      </c>
      <c r="D8" s="16">
        <f>5304.22+77.25+154.49</f>
        <v>5535.96</v>
      </c>
      <c r="E8" s="7"/>
      <c r="F8" s="7"/>
      <c r="G8" s="7"/>
      <c r="H8" s="7">
        <f>660+90</f>
        <v>750</v>
      </c>
      <c r="I8" s="7">
        <v>167.2</v>
      </c>
      <c r="J8" s="7"/>
      <c r="K8" s="7"/>
      <c r="L8" s="16">
        <f t="shared" si="3"/>
        <v>917.2</v>
      </c>
      <c r="M8" s="7">
        <f>104.95</f>
        <v>104.95</v>
      </c>
      <c r="N8" s="7"/>
      <c r="O8" s="7">
        <v>67.94</v>
      </c>
      <c r="P8" s="16">
        <f t="shared" si="0"/>
        <v>6626.0499999999993</v>
      </c>
      <c r="Q8" s="7">
        <v>428.98</v>
      </c>
      <c r="R8" s="7">
        <v>608.44000000000005</v>
      </c>
      <c r="S8" s="7"/>
      <c r="T8" s="7">
        <v>167.2</v>
      </c>
      <c r="U8" s="16">
        <f t="shared" si="1"/>
        <v>1204.6200000000001</v>
      </c>
      <c r="V8" s="16">
        <f t="shared" si="2"/>
        <v>5421.4299999999994</v>
      </c>
    </row>
    <row r="9" spans="1:22" x14ac:dyDescent="0.25">
      <c r="A9" s="6" t="s">
        <v>20</v>
      </c>
      <c r="B9" s="6" t="s">
        <v>58</v>
      </c>
      <c r="C9" s="6" t="s">
        <v>81</v>
      </c>
      <c r="D9" s="16">
        <f>3623.52+94.99+105.54</f>
        <v>3824.0499999999997</v>
      </c>
      <c r="E9" s="7"/>
      <c r="F9" s="7"/>
      <c r="G9" s="7"/>
      <c r="H9" s="7">
        <v>660</v>
      </c>
      <c r="I9" s="7">
        <v>347.6</v>
      </c>
      <c r="J9" s="7">
        <f>3*214.9</f>
        <v>644.70000000000005</v>
      </c>
      <c r="K9" s="7"/>
      <c r="L9" s="16">
        <f t="shared" si="3"/>
        <v>1007.6</v>
      </c>
      <c r="M9" s="7"/>
      <c r="N9" s="7"/>
      <c r="O9" s="7"/>
      <c r="P9" s="16">
        <f t="shared" si="0"/>
        <v>4831.6499999999996</v>
      </c>
      <c r="Q9" s="7">
        <v>125.66</v>
      </c>
      <c r="R9" s="7">
        <v>419.32</v>
      </c>
      <c r="S9" s="7">
        <f>12.08+120.78+22+36.24</f>
        <v>191.10000000000002</v>
      </c>
      <c r="T9" s="7">
        <v>159.43</v>
      </c>
      <c r="U9" s="16">
        <f t="shared" si="1"/>
        <v>895.51</v>
      </c>
      <c r="V9" s="16">
        <f t="shared" si="2"/>
        <v>3936.1399999999994</v>
      </c>
    </row>
    <row r="10" spans="1:22" x14ac:dyDescent="0.25">
      <c r="A10" s="5" t="s">
        <v>105</v>
      </c>
      <c r="B10" s="6" t="s">
        <v>62</v>
      </c>
      <c r="C10" s="6" t="s">
        <v>83</v>
      </c>
      <c r="D10" s="16">
        <f>1348.19+78.54</f>
        <v>1426.73</v>
      </c>
      <c r="E10" s="7"/>
      <c r="F10" s="7"/>
      <c r="G10" s="7"/>
      <c r="H10" s="7">
        <v>660</v>
      </c>
      <c r="I10" s="7">
        <v>180.4</v>
      </c>
      <c r="J10" s="7"/>
      <c r="K10" s="7"/>
      <c r="L10" s="16">
        <f t="shared" si="3"/>
        <v>840.4</v>
      </c>
      <c r="M10" s="7"/>
      <c r="N10" s="7"/>
      <c r="O10" s="7"/>
      <c r="P10" s="16">
        <f t="shared" si="0"/>
        <v>2267.13</v>
      </c>
      <c r="Q10" s="7"/>
      <c r="R10" s="7"/>
      <c r="S10" s="7"/>
      <c r="T10" s="7"/>
      <c r="U10" s="16">
        <f t="shared" si="1"/>
        <v>0</v>
      </c>
      <c r="V10" s="16">
        <f t="shared" si="2"/>
        <v>2267.13</v>
      </c>
    </row>
    <row r="11" spans="1:22" x14ac:dyDescent="0.25">
      <c r="A11" s="5" t="s">
        <v>21</v>
      </c>
      <c r="B11" s="6" t="s">
        <v>58</v>
      </c>
      <c r="C11" s="6" t="s">
        <v>85</v>
      </c>
      <c r="D11" s="16">
        <f>3623.52+66.85+105.54</f>
        <v>3795.91</v>
      </c>
      <c r="E11" s="7"/>
      <c r="F11" s="7"/>
      <c r="G11" s="7">
        <f>6.79+1.13</f>
        <v>7.92</v>
      </c>
      <c r="H11" s="7">
        <v>660</v>
      </c>
      <c r="I11" s="7">
        <v>167.2</v>
      </c>
      <c r="J11" s="7"/>
      <c r="K11" s="7"/>
      <c r="L11" s="16">
        <f t="shared" si="3"/>
        <v>827.2</v>
      </c>
      <c r="M11" s="7">
        <v>51.58</v>
      </c>
      <c r="N11" s="7"/>
      <c r="O11" s="7"/>
      <c r="P11" s="16">
        <f t="shared" si="0"/>
        <v>4682.6099999999997</v>
      </c>
      <c r="Q11" s="7">
        <v>159.9</v>
      </c>
      <c r="R11" s="7">
        <v>424.1</v>
      </c>
      <c r="S11" s="7">
        <f>120.78+36.24</f>
        <v>157.02000000000001</v>
      </c>
      <c r="T11" s="7">
        <v>159.43</v>
      </c>
      <c r="U11" s="16">
        <f t="shared" si="1"/>
        <v>900.45</v>
      </c>
      <c r="V11" s="16">
        <f t="shared" si="2"/>
        <v>3782.16</v>
      </c>
    </row>
    <row r="12" spans="1:22" x14ac:dyDescent="0.25">
      <c r="A12" s="5" t="s">
        <v>22</v>
      </c>
      <c r="B12" s="6" t="s">
        <v>62</v>
      </c>
      <c r="C12" s="6" t="s">
        <v>86</v>
      </c>
      <c r="D12" s="16">
        <f>1348.19+78.54</f>
        <v>1426.73</v>
      </c>
      <c r="E12" s="7"/>
      <c r="F12" s="7"/>
      <c r="G12" s="7"/>
      <c r="H12" s="7">
        <v>660</v>
      </c>
      <c r="I12" s="7">
        <v>347.6</v>
      </c>
      <c r="J12" s="7"/>
      <c r="K12" s="7"/>
      <c r="L12" s="16">
        <f t="shared" si="3"/>
        <v>1007.6</v>
      </c>
      <c r="M12" s="7"/>
      <c r="N12" s="7"/>
      <c r="O12" s="7"/>
      <c r="P12" s="16">
        <f t="shared" si="0"/>
        <v>2434.33</v>
      </c>
      <c r="Q12" s="7"/>
      <c r="R12" s="7"/>
      <c r="S12" s="7"/>
      <c r="T12" s="7"/>
      <c r="U12" s="16">
        <f t="shared" si="1"/>
        <v>0</v>
      </c>
      <c r="V12" s="16">
        <f t="shared" si="2"/>
        <v>2434.33</v>
      </c>
    </row>
    <row r="13" spans="1:22" x14ac:dyDescent="0.25">
      <c r="A13" s="6" t="s">
        <v>23</v>
      </c>
      <c r="B13" s="6" t="s">
        <v>63</v>
      </c>
      <c r="C13" s="6" t="s">
        <v>87</v>
      </c>
      <c r="D13" s="16">
        <f>8064.63+281.87+281.87</f>
        <v>8628.3700000000008</v>
      </c>
      <c r="E13" s="10">
        <v>1565.95</v>
      </c>
      <c r="F13" s="7"/>
      <c r="G13" s="7"/>
      <c r="H13" s="7">
        <f>510+90</f>
        <v>600</v>
      </c>
      <c r="I13" s="7"/>
      <c r="J13" s="7">
        <f>2*302.85+302.45</f>
        <v>908.15000000000009</v>
      </c>
      <c r="K13" s="7"/>
      <c r="L13" s="16">
        <f t="shared" si="3"/>
        <v>600</v>
      </c>
      <c r="M13" s="7">
        <f>250.56+521.98</f>
        <v>772.54</v>
      </c>
      <c r="N13" s="7"/>
      <c r="O13" s="7"/>
      <c r="P13" s="16">
        <f t="shared" si="0"/>
        <v>11566.86</v>
      </c>
      <c r="Q13" s="7">
        <v>1456.7</v>
      </c>
      <c r="R13" s="7">
        <f>420.53+187.91</f>
        <v>608.43999999999994</v>
      </c>
      <c r="S13" s="7"/>
      <c r="T13" s="7"/>
      <c r="U13" s="16">
        <f t="shared" si="1"/>
        <v>2065.14</v>
      </c>
      <c r="V13" s="16">
        <f t="shared" si="2"/>
        <v>9501.7200000000012</v>
      </c>
    </row>
    <row r="14" spans="1:22" x14ac:dyDescent="0.25">
      <c r="A14" s="6" t="s">
        <v>24</v>
      </c>
      <c r="B14" s="6" t="s">
        <v>58</v>
      </c>
      <c r="C14" s="6" t="s">
        <v>85</v>
      </c>
      <c r="D14" s="16">
        <f>3623.52+105.54+105.54</f>
        <v>3834.6</v>
      </c>
      <c r="E14" s="7"/>
      <c r="F14" s="7"/>
      <c r="G14" s="7"/>
      <c r="H14" s="7">
        <v>660</v>
      </c>
      <c r="I14" s="7">
        <v>347.6</v>
      </c>
      <c r="J14" s="7"/>
      <c r="K14" s="7"/>
      <c r="L14" s="16">
        <f t="shared" si="3"/>
        <v>1007.6</v>
      </c>
      <c r="M14" s="7"/>
      <c r="N14" s="7"/>
      <c r="O14" s="7"/>
      <c r="P14" s="16">
        <f t="shared" si="0"/>
        <v>4842.2</v>
      </c>
      <c r="Q14" s="7">
        <f>157.12+1260.04</f>
        <v>1417.1599999999999</v>
      </c>
      <c r="R14" s="7">
        <v>421.81</v>
      </c>
      <c r="S14" s="7">
        <v>120.78</v>
      </c>
      <c r="T14" s="7">
        <v>159.43</v>
      </c>
      <c r="U14" s="16">
        <f t="shared" si="1"/>
        <v>2119.1799999999998</v>
      </c>
      <c r="V14" s="16">
        <f t="shared" si="2"/>
        <v>2723.02</v>
      </c>
    </row>
    <row r="15" spans="1:22" x14ac:dyDescent="0.25">
      <c r="A15" s="11" t="s">
        <v>25</v>
      </c>
      <c r="B15" s="12" t="s">
        <v>64</v>
      </c>
      <c r="C15" s="12" t="s">
        <v>88</v>
      </c>
      <c r="D15" s="16">
        <f>9677.56+281.87+281.87</f>
        <v>10241.300000000001</v>
      </c>
      <c r="E15" s="7"/>
      <c r="F15" s="7"/>
      <c r="G15" s="7"/>
      <c r="H15" s="7">
        <f>660+90</f>
        <v>750</v>
      </c>
      <c r="I15" s="7">
        <v>123</v>
      </c>
      <c r="J15" s="7">
        <f>3*692.25</f>
        <v>2076.75</v>
      </c>
      <c r="K15" s="7"/>
      <c r="L15" s="16">
        <f t="shared" si="3"/>
        <v>873</v>
      </c>
      <c r="M15" s="7"/>
      <c r="N15" s="7"/>
      <c r="O15" s="7"/>
      <c r="P15" s="16">
        <f t="shared" si="0"/>
        <v>11114.300000000001</v>
      </c>
      <c r="Q15" s="7">
        <v>1779.68</v>
      </c>
      <c r="R15" s="7">
        <v>608.44000000000005</v>
      </c>
      <c r="S15" s="7"/>
      <c r="T15" s="7">
        <v>123</v>
      </c>
      <c r="U15" s="16">
        <f t="shared" si="1"/>
        <v>2511.12</v>
      </c>
      <c r="V15" s="16">
        <f t="shared" si="2"/>
        <v>8603.18</v>
      </c>
    </row>
    <row r="16" spans="1:22" x14ac:dyDescent="0.25">
      <c r="A16" s="5" t="s">
        <v>103</v>
      </c>
      <c r="B16" s="6" t="s">
        <v>62</v>
      </c>
      <c r="C16" s="6" t="s">
        <v>89</v>
      </c>
      <c r="D16" s="16">
        <f>1348.19+78.54</f>
        <v>1426.73</v>
      </c>
      <c r="E16" s="7"/>
      <c r="F16" s="7"/>
      <c r="G16" s="7"/>
      <c r="H16" s="7">
        <v>690</v>
      </c>
      <c r="I16" s="7">
        <v>352</v>
      </c>
      <c r="J16" s="7"/>
      <c r="K16" s="7"/>
      <c r="L16" s="16">
        <f t="shared" si="3"/>
        <v>1042</v>
      </c>
      <c r="M16" s="7"/>
      <c r="N16" s="7"/>
      <c r="O16" s="7"/>
      <c r="P16" s="16">
        <f t="shared" si="0"/>
        <v>2468.73</v>
      </c>
      <c r="Q16" s="7"/>
      <c r="R16" s="7"/>
      <c r="S16" s="7"/>
      <c r="T16" s="7"/>
      <c r="U16" s="16">
        <f t="shared" si="1"/>
        <v>0</v>
      </c>
      <c r="V16" s="16">
        <f t="shared" si="2"/>
        <v>2468.73</v>
      </c>
    </row>
    <row r="17" spans="1:22" x14ac:dyDescent="0.25">
      <c r="A17" s="11" t="s">
        <v>99</v>
      </c>
      <c r="B17" s="13" t="s">
        <v>65</v>
      </c>
      <c r="C17" s="13" t="s">
        <v>84</v>
      </c>
      <c r="D17" s="16"/>
      <c r="E17" s="7"/>
      <c r="F17" s="7"/>
      <c r="G17" s="7"/>
      <c r="H17" s="7"/>
      <c r="I17" s="7"/>
      <c r="J17" s="7">
        <f>3*840.79</f>
        <v>2522.37</v>
      </c>
      <c r="K17" s="7"/>
      <c r="L17" s="16">
        <f t="shared" si="3"/>
        <v>0</v>
      </c>
      <c r="M17" s="7">
        <v>108.52</v>
      </c>
      <c r="N17" s="7"/>
      <c r="O17" s="7">
        <f>244.18+5589</f>
        <v>5833.18</v>
      </c>
      <c r="P17" s="16">
        <f t="shared" si="0"/>
        <v>5941.7000000000007</v>
      </c>
      <c r="Q17" s="7">
        <v>712.47</v>
      </c>
      <c r="R17" s="7"/>
      <c r="S17" s="7"/>
      <c r="T17" s="7"/>
      <c r="U17" s="16">
        <f t="shared" si="1"/>
        <v>712.47</v>
      </c>
      <c r="V17" s="16">
        <f t="shared" si="2"/>
        <v>5229.2300000000005</v>
      </c>
    </row>
    <row r="18" spans="1:22" x14ac:dyDescent="0.25">
      <c r="A18" s="5" t="s">
        <v>26</v>
      </c>
      <c r="B18" s="6" t="s">
        <v>58</v>
      </c>
      <c r="C18" s="6" t="s">
        <v>81</v>
      </c>
      <c r="D18" s="16">
        <f>3623.52+105.54+105.54</f>
        <v>3834.6</v>
      </c>
      <c r="E18" s="7"/>
      <c r="F18" s="7"/>
      <c r="G18" s="7">
        <f>3.17+5.89+0.98+0.53</f>
        <v>10.569999999999999</v>
      </c>
      <c r="H18" s="7">
        <v>660</v>
      </c>
      <c r="I18" s="7">
        <v>347.6</v>
      </c>
      <c r="J18" s="7">
        <f>3*326.51</f>
        <v>979.53</v>
      </c>
      <c r="K18" s="7"/>
      <c r="L18" s="16">
        <f t="shared" si="3"/>
        <v>1007.6</v>
      </c>
      <c r="M18" s="7"/>
      <c r="N18" s="7"/>
      <c r="O18" s="7"/>
      <c r="P18" s="16">
        <f t="shared" si="0"/>
        <v>4852.7700000000004</v>
      </c>
      <c r="Q18" s="7">
        <v>158.53</v>
      </c>
      <c r="R18" s="7">
        <v>422.97</v>
      </c>
      <c r="S18" s="7">
        <f>120.78+11+36.24</f>
        <v>168.02</v>
      </c>
      <c r="T18" s="7">
        <v>159.43</v>
      </c>
      <c r="U18" s="16">
        <f t="shared" si="1"/>
        <v>908.95</v>
      </c>
      <c r="V18" s="16">
        <f t="shared" si="2"/>
        <v>3943.8200000000006</v>
      </c>
    </row>
    <row r="19" spans="1:22" x14ac:dyDescent="0.25">
      <c r="A19" s="5" t="s">
        <v>27</v>
      </c>
      <c r="B19" s="6" t="s">
        <v>66</v>
      </c>
      <c r="C19" s="6" t="s">
        <v>86</v>
      </c>
      <c r="D19" s="16">
        <f>8287.5+193.1+241.38</f>
        <v>8721.98</v>
      </c>
      <c r="E19" s="7"/>
      <c r="F19" s="7"/>
      <c r="G19" s="7">
        <f>6.15+15.54+2.59+1.03</f>
        <v>25.31</v>
      </c>
      <c r="H19" s="7">
        <v>660</v>
      </c>
      <c r="I19" s="7">
        <v>180.4</v>
      </c>
      <c r="J19" s="7"/>
      <c r="K19" s="7"/>
      <c r="L19" s="16">
        <f t="shared" si="3"/>
        <v>840.4</v>
      </c>
      <c r="M19" s="7">
        <v>80.37</v>
      </c>
      <c r="N19" s="7"/>
      <c r="O19" s="7">
        <f>81.58+1621.46</f>
        <v>1703.04</v>
      </c>
      <c r="P19" s="16">
        <f t="shared" si="0"/>
        <v>11371.099999999999</v>
      </c>
      <c r="Q19" s="7">
        <v>1859.26</v>
      </c>
      <c r="R19" s="7">
        <v>608.44000000000005</v>
      </c>
      <c r="S19" s="7"/>
      <c r="T19" s="7">
        <v>180.4</v>
      </c>
      <c r="U19" s="16">
        <f t="shared" si="1"/>
        <v>2648.1</v>
      </c>
      <c r="V19" s="16">
        <f t="shared" si="2"/>
        <v>8722.9999999999982</v>
      </c>
    </row>
    <row r="20" spans="1:22" x14ac:dyDescent="0.25">
      <c r="A20" s="5" t="s">
        <v>28</v>
      </c>
      <c r="B20" s="6" t="s">
        <v>67</v>
      </c>
      <c r="C20" s="6" t="s">
        <v>85</v>
      </c>
      <c r="D20" s="16">
        <f>8287.5+241.38+241.38</f>
        <v>8770.2599999999984</v>
      </c>
      <c r="E20" s="7"/>
      <c r="F20" s="7"/>
      <c r="G20" s="7"/>
      <c r="H20" s="7">
        <v>660</v>
      </c>
      <c r="I20" s="7"/>
      <c r="J20" s="7"/>
      <c r="K20" s="7"/>
      <c r="L20" s="16">
        <f t="shared" si="3"/>
        <v>660</v>
      </c>
      <c r="M20" s="7"/>
      <c r="N20" s="7"/>
      <c r="O20" s="7"/>
      <c r="P20" s="16">
        <f t="shared" si="0"/>
        <v>9430.2599999999984</v>
      </c>
      <c r="Q20" s="7">
        <v>1375.14</v>
      </c>
      <c r="R20" s="7">
        <v>608.44000000000005</v>
      </c>
      <c r="S20" s="7">
        <f>276.25+22</f>
        <v>298.25</v>
      </c>
      <c r="T20" s="7"/>
      <c r="U20" s="16">
        <f t="shared" si="1"/>
        <v>2281.83</v>
      </c>
      <c r="V20" s="16">
        <f t="shared" si="2"/>
        <v>7148.4299999999985</v>
      </c>
    </row>
    <row r="21" spans="1:22" x14ac:dyDescent="0.25">
      <c r="A21" s="5" t="s">
        <v>29</v>
      </c>
      <c r="B21" s="6" t="s">
        <v>68</v>
      </c>
      <c r="C21" s="6" t="s">
        <v>89</v>
      </c>
      <c r="D21" s="16">
        <f>4236.55+370.18+370.18</f>
        <v>4976.9100000000008</v>
      </c>
      <c r="E21" s="7">
        <v>8226.32</v>
      </c>
      <c r="F21" s="7"/>
      <c r="G21" s="7"/>
      <c r="H21" s="7">
        <f>240+180</f>
        <v>420</v>
      </c>
      <c r="I21" s="7"/>
      <c r="J21" s="7">
        <f>3*483.98</f>
        <v>1451.94</v>
      </c>
      <c r="K21" s="7"/>
      <c r="L21" s="16">
        <f t="shared" si="3"/>
        <v>420</v>
      </c>
      <c r="M21" s="7">
        <f>329.05+2742.1</f>
        <v>3071.15</v>
      </c>
      <c r="N21" s="7"/>
      <c r="O21" s="7">
        <f>45.13</f>
        <v>45.13</v>
      </c>
      <c r="P21" s="16">
        <f t="shared" si="0"/>
        <v>16739.510000000002</v>
      </c>
      <c r="Q21" s="7">
        <f>602.19+1979.63</f>
        <v>2581.8200000000002</v>
      </c>
      <c r="R21" s="7">
        <v>608.44000000000005</v>
      </c>
      <c r="S21" s="7"/>
      <c r="T21" s="7"/>
      <c r="U21" s="16">
        <f t="shared" si="1"/>
        <v>3190.26</v>
      </c>
      <c r="V21" s="16">
        <f t="shared" si="2"/>
        <v>13549.250000000002</v>
      </c>
    </row>
    <row r="22" spans="1:22" x14ac:dyDescent="0.25">
      <c r="A22" s="5" t="s">
        <v>108</v>
      </c>
      <c r="B22" s="6" t="s">
        <v>62</v>
      </c>
      <c r="C22" s="6" t="s">
        <v>87</v>
      </c>
      <c r="D22" s="16">
        <f>1348.19+78.54</f>
        <v>1426.73</v>
      </c>
      <c r="E22" s="7"/>
      <c r="F22" s="7"/>
      <c r="G22" s="7"/>
      <c r="H22" s="7">
        <v>660</v>
      </c>
      <c r="I22" s="7">
        <v>352</v>
      </c>
      <c r="J22" s="7"/>
      <c r="K22" s="7"/>
      <c r="L22" s="16">
        <f t="shared" si="3"/>
        <v>1012</v>
      </c>
      <c r="M22" s="7"/>
      <c r="N22" s="7"/>
      <c r="O22" s="7"/>
      <c r="P22" s="16">
        <f t="shared" si="0"/>
        <v>2438.73</v>
      </c>
      <c r="Q22" s="7"/>
      <c r="R22" s="7"/>
      <c r="S22" s="7"/>
      <c r="T22" s="7"/>
      <c r="U22" s="16">
        <f t="shared" si="1"/>
        <v>0</v>
      </c>
      <c r="V22" s="16">
        <f t="shared" si="2"/>
        <v>2438.73</v>
      </c>
    </row>
    <row r="23" spans="1:22" x14ac:dyDescent="0.25">
      <c r="A23" s="5" t="s">
        <v>30</v>
      </c>
      <c r="B23" s="6" t="s">
        <v>62</v>
      </c>
      <c r="C23" s="6" t="s">
        <v>89</v>
      </c>
      <c r="D23" s="16">
        <f>1348.19+78.54</f>
        <v>1426.73</v>
      </c>
      <c r="E23" s="7"/>
      <c r="F23" s="7"/>
      <c r="G23" s="7"/>
      <c r="H23" s="7">
        <v>720</v>
      </c>
      <c r="I23" s="7">
        <v>180.4</v>
      </c>
      <c r="J23" s="7"/>
      <c r="K23" s="7"/>
      <c r="L23" s="16">
        <f t="shared" si="3"/>
        <v>900.4</v>
      </c>
      <c r="M23" s="7"/>
      <c r="N23" s="7"/>
      <c r="O23" s="7"/>
      <c r="P23" s="16">
        <f t="shared" si="0"/>
        <v>2327.13</v>
      </c>
      <c r="Q23" s="7"/>
      <c r="R23" s="7"/>
      <c r="S23" s="7"/>
      <c r="T23" s="7"/>
      <c r="U23" s="16">
        <f t="shared" si="1"/>
        <v>0</v>
      </c>
      <c r="V23" s="16">
        <f t="shared" si="2"/>
        <v>2327.13</v>
      </c>
    </row>
    <row r="24" spans="1:22" x14ac:dyDescent="0.25">
      <c r="A24" s="5" t="s">
        <v>31</v>
      </c>
      <c r="B24" s="14" t="s">
        <v>69</v>
      </c>
      <c r="C24" s="6" t="s">
        <v>85</v>
      </c>
      <c r="D24" s="16">
        <f>8473.11+370.18+370.18</f>
        <v>9213.4700000000012</v>
      </c>
      <c r="E24" s="7"/>
      <c r="F24" s="7"/>
      <c r="G24" s="7"/>
      <c r="H24" s="7">
        <f>450+180</f>
        <v>630</v>
      </c>
      <c r="I24" s="7">
        <v>224</v>
      </c>
      <c r="J24" s="7">
        <f>295.82+246.41+327.9</f>
        <v>870.13</v>
      </c>
      <c r="K24" s="7"/>
      <c r="L24" s="16">
        <f t="shared" si="3"/>
        <v>854</v>
      </c>
      <c r="M24" s="7">
        <v>164.52</v>
      </c>
      <c r="N24" s="7"/>
      <c r="O24" s="7"/>
      <c r="P24" s="16">
        <f t="shared" si="0"/>
        <v>10231.990000000002</v>
      </c>
      <c r="Q24" s="7">
        <v>1708.16</v>
      </c>
      <c r="R24" s="7">
        <v>5.18</v>
      </c>
      <c r="S24" s="7">
        <f>423.66+11</f>
        <v>434.66</v>
      </c>
      <c r="T24" s="7">
        <v>224</v>
      </c>
      <c r="U24" s="16">
        <f t="shared" si="1"/>
        <v>2372</v>
      </c>
      <c r="V24" s="16">
        <f t="shared" si="2"/>
        <v>7859.9900000000016</v>
      </c>
    </row>
    <row r="25" spans="1:22" x14ac:dyDescent="0.25">
      <c r="A25" s="5" t="s">
        <v>32</v>
      </c>
      <c r="B25" s="6" t="s">
        <v>70</v>
      </c>
      <c r="C25" s="6" t="s">
        <v>90</v>
      </c>
      <c r="D25" s="16">
        <f>3623.52+35.18+105.54</f>
        <v>3764.24</v>
      </c>
      <c r="E25" s="7"/>
      <c r="F25" s="7"/>
      <c r="G25" s="7">
        <f>14.25+3.1+137.69+22.95+3.41</f>
        <v>181.39999999999998</v>
      </c>
      <c r="H25" s="7">
        <v>720</v>
      </c>
      <c r="I25" s="7"/>
      <c r="J25" s="7"/>
      <c r="K25" s="7"/>
      <c r="L25" s="16">
        <f t="shared" si="3"/>
        <v>720</v>
      </c>
      <c r="M25" s="7">
        <v>96.25</v>
      </c>
      <c r="N25" s="7"/>
      <c r="O25" s="7"/>
      <c r="P25" s="16">
        <f t="shared" si="0"/>
        <v>4761.8899999999994</v>
      </c>
      <c r="Q25" s="7">
        <v>161.65</v>
      </c>
      <c r="R25" s="7">
        <v>425.54</v>
      </c>
      <c r="S25" s="7">
        <f>27.48+25.06+120.78+120.78+36.24</f>
        <v>330.34000000000003</v>
      </c>
      <c r="T25" s="7"/>
      <c r="U25" s="16">
        <f t="shared" si="1"/>
        <v>917.53000000000009</v>
      </c>
      <c r="V25" s="16">
        <f t="shared" si="2"/>
        <v>3844.3599999999992</v>
      </c>
    </row>
    <row r="26" spans="1:22" x14ac:dyDescent="0.25">
      <c r="A26" s="5" t="s">
        <v>33</v>
      </c>
      <c r="B26" s="6" t="s">
        <v>58</v>
      </c>
      <c r="C26" s="6" t="s">
        <v>81</v>
      </c>
      <c r="D26" s="16">
        <f>3623.52+66.85+105.54</f>
        <v>3795.91</v>
      </c>
      <c r="E26" s="7"/>
      <c r="F26" s="7"/>
      <c r="G26" s="7">
        <f>1.13+0.19</f>
        <v>1.3199999999999998</v>
      </c>
      <c r="H26" s="7">
        <v>660</v>
      </c>
      <c r="I26" s="7"/>
      <c r="J26" s="7">
        <v>318.41000000000003</v>
      </c>
      <c r="K26" s="7"/>
      <c r="L26" s="16">
        <f t="shared" si="3"/>
        <v>660</v>
      </c>
      <c r="M26" s="7">
        <v>52.25</v>
      </c>
      <c r="N26" s="7"/>
      <c r="O26" s="7"/>
      <c r="P26" s="16">
        <f t="shared" si="0"/>
        <v>4509.4799999999996</v>
      </c>
      <c r="Q26" s="7">
        <v>152.16999999999999</v>
      </c>
      <c r="R26" s="7">
        <f>417.73+120.78</f>
        <v>538.51</v>
      </c>
      <c r="S26" s="7">
        <f>38.05+13.89</f>
        <v>51.94</v>
      </c>
      <c r="T26" s="7"/>
      <c r="U26" s="16">
        <f t="shared" si="1"/>
        <v>742.61999999999989</v>
      </c>
      <c r="V26" s="16">
        <f t="shared" si="2"/>
        <v>3766.8599999999997</v>
      </c>
    </row>
    <row r="27" spans="1:22" x14ac:dyDescent="0.25">
      <c r="A27" s="5" t="s">
        <v>34</v>
      </c>
      <c r="B27" s="6" t="s">
        <v>67</v>
      </c>
      <c r="C27" s="6" t="s">
        <v>85</v>
      </c>
      <c r="D27" s="16">
        <f>3867.5+241.38+241.38</f>
        <v>4350.26</v>
      </c>
      <c r="E27" s="7">
        <v>4291.26</v>
      </c>
      <c r="F27" s="7"/>
      <c r="G27" s="7"/>
      <c r="H27" s="7">
        <v>300</v>
      </c>
      <c r="I27" s="7"/>
      <c r="J27" s="7"/>
      <c r="K27" s="7"/>
      <c r="L27" s="16">
        <f t="shared" si="3"/>
        <v>300</v>
      </c>
      <c r="M27" s="7">
        <f>172.24+12.57+1435.31</f>
        <v>1620.12</v>
      </c>
      <c r="N27" s="7"/>
      <c r="O27" s="7"/>
      <c r="P27" s="16">
        <f t="shared" si="0"/>
        <v>10561.64</v>
      </c>
      <c r="Q27" s="7">
        <f>381.43+542.16</f>
        <v>923.58999999999992</v>
      </c>
      <c r="R27" s="7">
        <v>608.44000000000005</v>
      </c>
      <c r="S27" s="7">
        <v>276.25</v>
      </c>
      <c r="T27" s="7"/>
      <c r="U27" s="16">
        <f t="shared" si="1"/>
        <v>1808.28</v>
      </c>
      <c r="V27" s="16">
        <f t="shared" si="2"/>
        <v>8753.3599999999988</v>
      </c>
    </row>
    <row r="28" spans="1:22" x14ac:dyDescent="0.25">
      <c r="A28" s="5" t="s">
        <v>110</v>
      </c>
      <c r="B28" s="6" t="s">
        <v>62</v>
      </c>
      <c r="C28" s="6" t="s">
        <v>93</v>
      </c>
      <c r="D28" s="16">
        <f>1348.19+78.54</f>
        <v>1426.73</v>
      </c>
      <c r="E28" s="7"/>
      <c r="F28" s="7"/>
      <c r="G28" s="7"/>
      <c r="H28" s="7">
        <v>330</v>
      </c>
      <c r="I28" s="7">
        <v>176</v>
      </c>
      <c r="J28" s="7"/>
      <c r="K28" s="7"/>
      <c r="L28" s="16">
        <f t="shared" si="3"/>
        <v>506</v>
      </c>
      <c r="M28" s="7"/>
      <c r="N28" s="7"/>
      <c r="O28" s="7"/>
      <c r="P28" s="16">
        <f t="shared" si="0"/>
        <v>1932.73</v>
      </c>
      <c r="Q28" s="7"/>
      <c r="R28" s="7"/>
      <c r="S28" s="7"/>
      <c r="T28" s="7"/>
      <c r="U28" s="16">
        <f t="shared" si="1"/>
        <v>0</v>
      </c>
      <c r="V28" s="16">
        <f t="shared" si="2"/>
        <v>1932.73</v>
      </c>
    </row>
    <row r="29" spans="1:22" x14ac:dyDescent="0.25">
      <c r="A29" s="5" t="s">
        <v>107</v>
      </c>
      <c r="B29" s="15" t="s">
        <v>71</v>
      </c>
      <c r="C29" s="6" t="s">
        <v>87</v>
      </c>
      <c r="D29" s="16">
        <f>6995.3+203.75+203.75</f>
        <v>7402.8</v>
      </c>
      <c r="E29" s="7"/>
      <c r="F29" s="7"/>
      <c r="G29" s="7">
        <f>11.37+1.9</f>
        <v>13.27</v>
      </c>
      <c r="H29" s="7">
        <v>660</v>
      </c>
      <c r="I29" s="7">
        <v>180.4</v>
      </c>
      <c r="J29" s="7">
        <f>2*424.17+421.59</f>
        <v>1269.93</v>
      </c>
      <c r="K29" s="7"/>
      <c r="L29" s="16">
        <f t="shared" si="3"/>
        <v>840.4</v>
      </c>
      <c r="M29" s="7"/>
      <c r="N29" s="7"/>
      <c r="O29" s="7"/>
      <c r="P29" s="16">
        <f t="shared" si="0"/>
        <v>8256.4700000000012</v>
      </c>
      <c r="Q29" s="7">
        <v>996.33</v>
      </c>
      <c r="R29" s="7">
        <v>608.44000000000005</v>
      </c>
      <c r="S29" s="7">
        <f>23.32+233.18</f>
        <v>256.5</v>
      </c>
      <c r="T29" s="7">
        <v>180.4</v>
      </c>
      <c r="U29" s="16">
        <f t="shared" si="1"/>
        <v>2041.67</v>
      </c>
      <c r="V29" s="16">
        <f t="shared" si="2"/>
        <v>6214.8000000000011</v>
      </c>
    </row>
    <row r="30" spans="1:22" x14ac:dyDescent="0.25">
      <c r="A30" s="11" t="s">
        <v>35</v>
      </c>
      <c r="B30" s="13" t="s">
        <v>59</v>
      </c>
      <c r="C30" s="6" t="s">
        <v>89</v>
      </c>
      <c r="D30" s="16">
        <f>3623.52+105.54+105.54</f>
        <v>3834.6</v>
      </c>
      <c r="E30" s="7"/>
      <c r="F30" s="7"/>
      <c r="G30" s="7">
        <f>2.85+4.15+34.42+155.36+31.63+1.17</f>
        <v>229.58</v>
      </c>
      <c r="H30" s="7">
        <v>660</v>
      </c>
      <c r="I30" s="7">
        <v>352</v>
      </c>
      <c r="J30" s="7"/>
      <c r="K30" s="7"/>
      <c r="L30" s="16">
        <f t="shared" si="3"/>
        <v>1012</v>
      </c>
      <c r="M30" s="7"/>
      <c r="N30" s="7"/>
      <c r="O30" s="7">
        <v>24.48</v>
      </c>
      <c r="P30" s="16">
        <f t="shared" si="0"/>
        <v>5100.66</v>
      </c>
      <c r="Q30" s="7">
        <v>190.75</v>
      </c>
      <c r="R30" s="7">
        <v>449.52</v>
      </c>
      <c r="S30" s="7">
        <f>2.11+120.78</f>
        <v>122.89</v>
      </c>
      <c r="T30" s="7">
        <v>159.43</v>
      </c>
      <c r="U30" s="16">
        <f t="shared" si="1"/>
        <v>922.58999999999992</v>
      </c>
      <c r="V30" s="16">
        <f t="shared" si="2"/>
        <v>4178.07</v>
      </c>
    </row>
    <row r="31" spans="1:22" x14ac:dyDescent="0.25">
      <c r="A31" s="5" t="s">
        <v>36</v>
      </c>
      <c r="B31" s="6" t="s">
        <v>67</v>
      </c>
      <c r="C31" s="6" t="s">
        <v>85</v>
      </c>
      <c r="D31" s="16">
        <f>8287.5+241.38+88.51</f>
        <v>8617.39</v>
      </c>
      <c r="E31" s="7"/>
      <c r="F31" s="7"/>
      <c r="G31" s="7"/>
      <c r="H31" s="7">
        <v>660</v>
      </c>
      <c r="I31" s="7"/>
      <c r="J31" s="7"/>
      <c r="K31" s="7"/>
      <c r="L31" s="16">
        <f t="shared" si="3"/>
        <v>660</v>
      </c>
      <c r="M31" s="7">
        <v>230.87</v>
      </c>
      <c r="N31" s="7"/>
      <c r="O31" s="7"/>
      <c r="P31" s="16">
        <f t="shared" si="0"/>
        <v>9508.26</v>
      </c>
      <c r="Q31" s="7">
        <v>1396.59</v>
      </c>
      <c r="R31" s="7">
        <v>608.44000000000005</v>
      </c>
      <c r="S31" s="7">
        <f>276.25+11</f>
        <v>287.25</v>
      </c>
      <c r="T31" s="7"/>
      <c r="U31" s="16">
        <f t="shared" si="1"/>
        <v>2292.2799999999997</v>
      </c>
      <c r="V31" s="16">
        <f t="shared" si="2"/>
        <v>7215.9800000000005</v>
      </c>
    </row>
    <row r="32" spans="1:22" x14ac:dyDescent="0.25">
      <c r="A32" s="5" t="s">
        <v>37</v>
      </c>
      <c r="B32" s="6" t="s">
        <v>66</v>
      </c>
      <c r="C32" s="6" t="s">
        <v>86</v>
      </c>
      <c r="D32" s="16">
        <f>8287.5+241.38+241.38</f>
        <v>8770.2599999999984</v>
      </c>
      <c r="E32" s="10"/>
      <c r="F32" s="7"/>
      <c r="G32" s="7">
        <f>18.11+15.39+154.35+25.73+5.58</f>
        <v>219.16</v>
      </c>
      <c r="H32" s="7">
        <v>660</v>
      </c>
      <c r="I32" s="7">
        <v>180.4</v>
      </c>
      <c r="J32" s="7">
        <f>3*372.31</f>
        <v>1116.93</v>
      </c>
      <c r="K32" s="7"/>
      <c r="L32" s="16">
        <f t="shared" si="3"/>
        <v>840.4</v>
      </c>
      <c r="M32" s="7"/>
      <c r="N32" s="7"/>
      <c r="O32" s="7"/>
      <c r="P32" s="16">
        <f t="shared" si="0"/>
        <v>9829.8199999999979</v>
      </c>
      <c r="Q32" s="7">
        <v>1353.74</v>
      </c>
      <c r="R32" s="7">
        <v>608.44000000000005</v>
      </c>
      <c r="S32" s="7">
        <f>113.95+183.02+276.25</f>
        <v>573.22</v>
      </c>
      <c r="T32" s="7">
        <v>180.4</v>
      </c>
      <c r="U32" s="16">
        <f t="shared" si="1"/>
        <v>2715.8</v>
      </c>
      <c r="V32" s="16">
        <f t="shared" si="2"/>
        <v>7114.0199999999977</v>
      </c>
    </row>
    <row r="33" spans="1:22" x14ac:dyDescent="0.25">
      <c r="A33" s="6" t="s">
        <v>38</v>
      </c>
      <c r="B33" s="6" t="s">
        <v>59</v>
      </c>
      <c r="C33" s="6" t="s">
        <v>89</v>
      </c>
      <c r="D33" s="16">
        <f>3381.95+105.54+42.22</f>
        <v>3529.7099999999996</v>
      </c>
      <c r="E33" s="7">
        <v>469.06</v>
      </c>
      <c r="F33" s="7"/>
      <c r="G33" s="7">
        <f>1.59+11.61+108.71+18.12+2.2</f>
        <v>142.22999999999999</v>
      </c>
      <c r="H33" s="7">
        <v>720</v>
      </c>
      <c r="I33" s="7">
        <v>525.79999999999995</v>
      </c>
      <c r="J33" s="7"/>
      <c r="K33" s="7"/>
      <c r="L33" s="16">
        <f t="shared" si="3"/>
        <v>1245.8</v>
      </c>
      <c r="M33" s="7">
        <f>94.71+157.85+0</f>
        <v>252.56</v>
      </c>
      <c r="N33" s="7"/>
      <c r="O33" s="7"/>
      <c r="P33" s="16">
        <f t="shared" si="0"/>
        <v>5639.36</v>
      </c>
      <c r="Q33" s="7">
        <v>144.72</v>
      </c>
      <c r="R33" s="7">
        <v>432.88</v>
      </c>
      <c r="S33" s="7">
        <f>3.62+120.78+11</f>
        <v>135.4</v>
      </c>
      <c r="T33" s="7">
        <v>159.43</v>
      </c>
      <c r="U33" s="16">
        <f t="shared" si="1"/>
        <v>872.43000000000006</v>
      </c>
      <c r="V33" s="16">
        <f t="shared" si="2"/>
        <v>4766.9299999999994</v>
      </c>
    </row>
    <row r="34" spans="1:22" x14ac:dyDescent="0.25">
      <c r="A34" s="6" t="s">
        <v>39</v>
      </c>
      <c r="B34" s="6" t="s">
        <v>72</v>
      </c>
      <c r="C34" s="6" t="s">
        <v>86</v>
      </c>
      <c r="D34" s="16">
        <f>8049.45+370.18+135.73</f>
        <v>8555.3599999999988</v>
      </c>
      <c r="E34" s="7">
        <v>4524.4799999999996</v>
      </c>
      <c r="F34" s="7"/>
      <c r="G34" s="7"/>
      <c r="H34" s="7">
        <f>390+90</f>
        <v>480</v>
      </c>
      <c r="I34" s="7">
        <v>748.93</v>
      </c>
      <c r="J34" s="7"/>
      <c r="K34" s="7"/>
      <c r="L34" s="16">
        <f t="shared" si="3"/>
        <v>1228.9299999999998</v>
      </c>
      <c r="M34" s="7">
        <f>493.57+1508.16+0.9+2.93</f>
        <v>2005.5600000000002</v>
      </c>
      <c r="N34" s="7"/>
      <c r="O34" s="7"/>
      <c r="P34" s="16">
        <f t="shared" si="0"/>
        <v>16314.329999999998</v>
      </c>
      <c r="Q34" s="7">
        <f>1619.1+622.3</f>
        <v>2241.3999999999996</v>
      </c>
      <c r="R34" s="16">
        <v>608.44000000000005</v>
      </c>
      <c r="S34" s="7"/>
      <c r="T34" s="7">
        <v>330.45</v>
      </c>
      <c r="U34" s="16">
        <f t="shared" si="1"/>
        <v>3180.2899999999995</v>
      </c>
      <c r="V34" s="16">
        <f t="shared" si="2"/>
        <v>13134.039999999999</v>
      </c>
    </row>
    <row r="35" spans="1:22" x14ac:dyDescent="0.25">
      <c r="A35" s="6" t="s">
        <v>40</v>
      </c>
      <c r="B35" s="6" t="s">
        <v>73</v>
      </c>
      <c r="C35" s="6" t="s">
        <v>83</v>
      </c>
      <c r="D35" s="16">
        <f>1811.76+105.54+105.54</f>
        <v>2022.84</v>
      </c>
      <c r="E35" s="7">
        <v>1758.99</v>
      </c>
      <c r="F35" s="7"/>
      <c r="G35" s="7">
        <f>2.08+40.31+6.72+24.46+0.35</f>
        <v>73.919999999999987</v>
      </c>
      <c r="H35" s="7">
        <v>330</v>
      </c>
      <c r="I35" s="7">
        <v>352</v>
      </c>
      <c r="J35" s="7"/>
      <c r="K35" s="7"/>
      <c r="L35" s="16">
        <f t="shared" si="3"/>
        <v>682</v>
      </c>
      <c r="M35" s="7">
        <f>46.41+17.37+1.32+14.07+11.97+0.22+592.32</f>
        <v>683.68000000000006</v>
      </c>
      <c r="N35" s="7"/>
      <c r="O35" s="7"/>
      <c r="P35" s="16">
        <f t="shared" si="0"/>
        <v>5221.43</v>
      </c>
      <c r="Q35" s="7">
        <v>18.899999999999999</v>
      </c>
      <c r="R35" s="7">
        <f>269.39+213.23</f>
        <v>482.62</v>
      </c>
      <c r="S35" s="7">
        <f>33.22+67.34+120.78+11</f>
        <v>232.34</v>
      </c>
      <c r="T35" s="7">
        <v>159.43</v>
      </c>
      <c r="U35" s="16">
        <f t="shared" si="1"/>
        <v>893.29</v>
      </c>
      <c r="V35" s="16">
        <f t="shared" si="2"/>
        <v>4328.1400000000003</v>
      </c>
    </row>
    <row r="36" spans="1:22" x14ac:dyDescent="0.25">
      <c r="A36" s="6" t="s">
        <v>41</v>
      </c>
      <c r="B36" s="6" t="s">
        <v>74</v>
      </c>
      <c r="C36" s="6" t="s">
        <v>84</v>
      </c>
      <c r="D36" s="16">
        <f>12709.66+370.18+370.18</f>
        <v>13450.02</v>
      </c>
      <c r="E36" s="7"/>
      <c r="F36" s="7"/>
      <c r="G36" s="7"/>
      <c r="H36" s="7">
        <f>660+30</f>
        <v>690</v>
      </c>
      <c r="I36" s="7">
        <v>167.2</v>
      </c>
      <c r="J36" s="7"/>
      <c r="K36" s="7"/>
      <c r="L36" s="16">
        <f t="shared" si="3"/>
        <v>857.2</v>
      </c>
      <c r="M36" s="7"/>
      <c r="N36" s="7"/>
      <c r="O36" s="7"/>
      <c r="P36" s="16">
        <f t="shared" si="0"/>
        <v>14307.220000000001</v>
      </c>
      <c r="Q36" s="7">
        <v>2662.07</v>
      </c>
      <c r="R36" s="7">
        <v>608.44000000000005</v>
      </c>
      <c r="S36" s="7"/>
      <c r="T36" s="7">
        <v>167.2</v>
      </c>
      <c r="U36" s="16">
        <f t="shared" si="1"/>
        <v>3437.71</v>
      </c>
      <c r="V36" s="16">
        <f t="shared" si="2"/>
        <v>10869.510000000002</v>
      </c>
    </row>
    <row r="37" spans="1:22" x14ac:dyDescent="0.25">
      <c r="A37" s="5" t="s">
        <v>106</v>
      </c>
      <c r="B37" s="6" t="s">
        <v>62</v>
      </c>
      <c r="C37" s="6" t="s">
        <v>91</v>
      </c>
      <c r="D37" s="16">
        <f>1348.19+78.54</f>
        <v>1426.73</v>
      </c>
      <c r="E37" s="7"/>
      <c r="F37" s="7"/>
      <c r="G37" s="7"/>
      <c r="H37" s="7">
        <v>660</v>
      </c>
      <c r="I37" s="7">
        <v>144.4</v>
      </c>
      <c r="J37" s="7"/>
      <c r="K37" s="7"/>
      <c r="L37" s="16">
        <f t="shared" si="3"/>
        <v>804.4</v>
      </c>
      <c r="M37" s="7"/>
      <c r="N37" s="7"/>
      <c r="O37" s="7"/>
      <c r="P37" s="16">
        <f t="shared" ref="P37:P56" si="4">D37+E37+F37+G37+L37+M37+N37+O37</f>
        <v>2231.13</v>
      </c>
      <c r="Q37" s="7"/>
      <c r="R37" s="7"/>
      <c r="S37" s="7"/>
      <c r="T37" s="7"/>
      <c r="U37" s="16">
        <f t="shared" ref="U37:U56" si="5">Q37+R37+S37+T37</f>
        <v>0</v>
      </c>
      <c r="V37" s="16">
        <f t="shared" ref="V37:V56" si="6">P37-U37</f>
        <v>2231.13</v>
      </c>
    </row>
    <row r="38" spans="1:22" x14ac:dyDescent="0.25">
      <c r="A38" s="6" t="s">
        <v>42</v>
      </c>
      <c r="B38" s="6" t="s">
        <v>75</v>
      </c>
      <c r="C38" s="6" t="s">
        <v>91</v>
      </c>
      <c r="D38" s="16">
        <f>5806.54+234.84+281.87</f>
        <v>6323.25</v>
      </c>
      <c r="E38" s="7">
        <v>3758.28</v>
      </c>
      <c r="F38" s="7"/>
      <c r="G38" s="7"/>
      <c r="H38" s="7">
        <f>360+60</f>
        <v>420</v>
      </c>
      <c r="I38" s="7"/>
      <c r="J38" s="7"/>
      <c r="K38" s="7"/>
      <c r="L38" s="16">
        <f t="shared" si="3"/>
        <v>420</v>
      </c>
      <c r="M38" s="7">
        <f>212.96+1252.76</f>
        <v>1465.72</v>
      </c>
      <c r="N38" s="7"/>
      <c r="O38" s="7"/>
      <c r="P38" s="16">
        <f t="shared" si="4"/>
        <v>11967.25</v>
      </c>
      <c r="Q38" s="7">
        <f>912.36+367.33</f>
        <v>1279.69</v>
      </c>
      <c r="R38" s="7">
        <f>57.23+551.21</f>
        <v>608.44000000000005</v>
      </c>
      <c r="S38" s="7">
        <v>322.58999999999997</v>
      </c>
      <c r="T38" s="7"/>
      <c r="U38" s="16">
        <f t="shared" si="5"/>
        <v>2210.7200000000003</v>
      </c>
      <c r="V38" s="16">
        <f t="shared" si="6"/>
        <v>9756.5299999999988</v>
      </c>
    </row>
    <row r="39" spans="1:22" x14ac:dyDescent="0.25">
      <c r="A39" s="6" t="s">
        <v>43</v>
      </c>
      <c r="B39" s="6" t="s">
        <v>76</v>
      </c>
      <c r="C39" s="6" t="s">
        <v>91</v>
      </c>
      <c r="D39" s="16">
        <f>6995.3+203.75+203.75</f>
        <v>7402.8</v>
      </c>
      <c r="E39" s="7"/>
      <c r="F39" s="7"/>
      <c r="G39" s="7">
        <f>3.05+22.41+18.03+142.53+23.76+7.27</f>
        <v>217.05</v>
      </c>
      <c r="H39" s="7">
        <v>720</v>
      </c>
      <c r="I39" s="7">
        <v>180.4</v>
      </c>
      <c r="J39" s="7"/>
      <c r="K39" s="7"/>
      <c r="L39" s="16">
        <f t="shared" si="3"/>
        <v>900.4</v>
      </c>
      <c r="M39" s="7"/>
      <c r="N39" s="7"/>
      <c r="O39" s="7">
        <f>1072.9+13.02</f>
        <v>1085.92</v>
      </c>
      <c r="P39" s="16">
        <f t="shared" si="4"/>
        <v>9606.17</v>
      </c>
      <c r="Q39" s="7">
        <v>1357.41</v>
      </c>
      <c r="R39" s="7">
        <v>608.44000000000005</v>
      </c>
      <c r="S39" s="7">
        <v>233.18</v>
      </c>
      <c r="T39" s="7">
        <v>167.2</v>
      </c>
      <c r="U39" s="16">
        <f t="shared" si="5"/>
        <v>2366.23</v>
      </c>
      <c r="V39" s="16">
        <f t="shared" si="6"/>
        <v>7239.9400000000005</v>
      </c>
    </row>
    <row r="40" spans="1:22" x14ac:dyDescent="0.25">
      <c r="A40" s="6" t="s">
        <v>44</v>
      </c>
      <c r="B40" s="6" t="s">
        <v>70</v>
      </c>
      <c r="C40" s="6" t="s">
        <v>90</v>
      </c>
      <c r="D40" s="16">
        <f>3623.52+105.54+105.54</f>
        <v>3834.6</v>
      </c>
      <c r="E40" s="7"/>
      <c r="F40" s="7"/>
      <c r="G40" s="7">
        <f>13.9+1.24+78.36+23.55+16.99+2.32</f>
        <v>136.35999999999999</v>
      </c>
      <c r="H40" s="7">
        <v>720</v>
      </c>
      <c r="I40" s="7">
        <v>286</v>
      </c>
      <c r="J40" s="7">
        <f>2*315.26+424.17</f>
        <v>1054.69</v>
      </c>
      <c r="K40" s="7"/>
      <c r="L40" s="16">
        <f t="shared" si="3"/>
        <v>1006</v>
      </c>
      <c r="M40" s="7"/>
      <c r="N40" s="7"/>
      <c r="O40" s="7"/>
      <c r="P40" s="16">
        <f t="shared" si="4"/>
        <v>4976.96</v>
      </c>
      <c r="Q40" s="7">
        <v>175.32</v>
      </c>
      <c r="R40" s="7">
        <v>436.81</v>
      </c>
      <c r="S40" s="7">
        <f>11+120.78</f>
        <v>131.78</v>
      </c>
      <c r="T40" s="7">
        <v>159.43</v>
      </c>
      <c r="U40" s="16">
        <f t="shared" si="5"/>
        <v>903.33999999999992</v>
      </c>
      <c r="V40" s="16">
        <f t="shared" si="6"/>
        <v>4073.62</v>
      </c>
    </row>
    <row r="41" spans="1:22" x14ac:dyDescent="0.25">
      <c r="A41" s="5" t="s">
        <v>45</v>
      </c>
      <c r="B41" s="6" t="s">
        <v>58</v>
      </c>
      <c r="C41" s="6" t="s">
        <v>81</v>
      </c>
      <c r="D41" s="16">
        <f>3623.52+98.5+59.81</f>
        <v>3781.83</v>
      </c>
      <c r="E41" s="7"/>
      <c r="F41" s="7"/>
      <c r="G41" s="7">
        <f>0.97+0.16</f>
        <v>1.1299999999999999</v>
      </c>
      <c r="H41" s="7">
        <v>660</v>
      </c>
      <c r="I41" s="7">
        <v>194.2</v>
      </c>
      <c r="J41" s="7">
        <f>3*238.68</f>
        <v>716.04</v>
      </c>
      <c r="K41" s="7"/>
      <c r="L41" s="16">
        <f t="shared" si="3"/>
        <v>854.2</v>
      </c>
      <c r="M41" s="7">
        <v>71.150000000000006</v>
      </c>
      <c r="N41" s="7"/>
      <c r="O41" s="7"/>
      <c r="P41" s="16">
        <f t="shared" si="4"/>
        <v>4708.3099999999995</v>
      </c>
      <c r="Q41" s="7">
        <v>147.79</v>
      </c>
      <c r="R41" s="7">
        <v>414.12</v>
      </c>
      <c r="S41" s="7">
        <f>36.84+52.54+120.78+36.24</f>
        <v>246.4</v>
      </c>
      <c r="T41" s="7">
        <v>65.22</v>
      </c>
      <c r="U41" s="16">
        <f t="shared" si="5"/>
        <v>873.53</v>
      </c>
      <c r="V41" s="16">
        <f t="shared" si="6"/>
        <v>3834.7799999999997</v>
      </c>
    </row>
    <row r="42" spans="1:22" x14ac:dyDescent="0.25">
      <c r="A42" s="6" t="s">
        <v>46</v>
      </c>
      <c r="B42" s="6" t="s">
        <v>58</v>
      </c>
      <c r="C42" s="6" t="s">
        <v>81</v>
      </c>
      <c r="D42" s="16">
        <f>3623.52+105.54+105.54</f>
        <v>3834.6</v>
      </c>
      <c r="E42" s="7"/>
      <c r="F42" s="7"/>
      <c r="G42" s="7">
        <f>2.53+19.18+3.34+89.68+14.95+4.18</f>
        <v>133.86000000000001</v>
      </c>
      <c r="H42" s="7">
        <v>720</v>
      </c>
      <c r="I42" s="7">
        <v>180.4</v>
      </c>
      <c r="J42" s="7">
        <f>3*188.96</f>
        <v>566.88</v>
      </c>
      <c r="K42" s="7"/>
      <c r="L42" s="16">
        <f t="shared" si="3"/>
        <v>900.4</v>
      </c>
      <c r="M42" s="7"/>
      <c r="N42" s="7"/>
      <c r="O42" s="7"/>
      <c r="P42" s="16">
        <f t="shared" si="4"/>
        <v>4868.8599999999997</v>
      </c>
      <c r="Q42" s="7">
        <v>174.46</v>
      </c>
      <c r="R42" s="7">
        <v>436.1</v>
      </c>
      <c r="S42" s="7">
        <f>3.93+120.78+11+36.24</f>
        <v>171.95000000000002</v>
      </c>
      <c r="T42" s="7">
        <v>159.43</v>
      </c>
      <c r="U42" s="16">
        <f t="shared" si="5"/>
        <v>941.94</v>
      </c>
      <c r="V42" s="16">
        <f t="shared" si="6"/>
        <v>3926.9199999999996</v>
      </c>
    </row>
    <row r="43" spans="1:22" x14ac:dyDescent="0.25">
      <c r="A43" s="5" t="s">
        <v>104</v>
      </c>
      <c r="B43" s="6" t="s">
        <v>59</v>
      </c>
      <c r="C43" s="6" t="s">
        <v>89</v>
      </c>
      <c r="D43" s="16">
        <f>3623.52+105.54+105.54</f>
        <v>3834.6</v>
      </c>
      <c r="E43" s="7"/>
      <c r="F43" s="7"/>
      <c r="G43" s="7">
        <f>1.59+11.61+0.21+40.31+6.72+2.24</f>
        <v>62.68</v>
      </c>
      <c r="H43" s="7">
        <v>720</v>
      </c>
      <c r="I43" s="7">
        <v>352</v>
      </c>
      <c r="J43" s="7"/>
      <c r="K43" s="7"/>
      <c r="L43" s="16">
        <f t="shared" si="3"/>
        <v>1072</v>
      </c>
      <c r="M43" s="7"/>
      <c r="N43" s="7"/>
      <c r="O43" s="7"/>
      <c r="P43" s="16">
        <f t="shared" si="4"/>
        <v>4969.28</v>
      </c>
      <c r="Q43" s="7">
        <v>162.06</v>
      </c>
      <c r="R43" s="7">
        <v>425.88</v>
      </c>
      <c r="S43" s="7">
        <f>25.67+120.78+11</f>
        <v>157.44999999999999</v>
      </c>
      <c r="T43" s="7">
        <v>159.43</v>
      </c>
      <c r="U43" s="16">
        <f t="shared" si="5"/>
        <v>904.82000000000016</v>
      </c>
      <c r="V43" s="16">
        <f t="shared" si="6"/>
        <v>4064.4599999999996</v>
      </c>
    </row>
    <row r="44" spans="1:22" x14ac:dyDescent="0.25">
      <c r="A44" s="6" t="s">
        <v>112</v>
      </c>
      <c r="B44" s="6" t="s">
        <v>66</v>
      </c>
      <c r="C44" s="6" t="s">
        <v>86</v>
      </c>
      <c r="D44" s="16">
        <f>8287.5+241.38+241.38</f>
        <v>8770.2599999999984</v>
      </c>
      <c r="E44" s="7"/>
      <c r="F44" s="7"/>
      <c r="G44" s="7">
        <f>1.06+0.18</f>
        <v>1.24</v>
      </c>
      <c r="H44" s="7">
        <v>660</v>
      </c>
      <c r="I44" s="7"/>
      <c r="J44" s="7">
        <f>3*351.3</f>
        <v>1053.9000000000001</v>
      </c>
      <c r="K44" s="7">
        <f>260+20</f>
        <v>280</v>
      </c>
      <c r="L44" s="16">
        <f t="shared" si="3"/>
        <v>940</v>
      </c>
      <c r="M44" s="7"/>
      <c r="N44" s="7"/>
      <c r="O44" s="7"/>
      <c r="P44" s="16">
        <f t="shared" si="4"/>
        <v>9711.4999999999982</v>
      </c>
      <c r="Q44" s="7">
        <v>1323.34</v>
      </c>
      <c r="R44" s="16">
        <v>608.44000000000005</v>
      </c>
      <c r="S44" s="7"/>
      <c r="T44" s="7"/>
      <c r="U44" s="16">
        <f t="shared" si="5"/>
        <v>1931.78</v>
      </c>
      <c r="V44" s="16">
        <f t="shared" si="6"/>
        <v>7779.7199999999984</v>
      </c>
    </row>
    <row r="45" spans="1:22" x14ac:dyDescent="0.25">
      <c r="A45" s="5" t="s">
        <v>47</v>
      </c>
      <c r="B45" s="6" t="s">
        <v>66</v>
      </c>
      <c r="C45" s="6" t="s">
        <v>86</v>
      </c>
      <c r="D45" s="16">
        <f>8287.5+241.38+241.38</f>
        <v>8770.2599999999984</v>
      </c>
      <c r="E45" s="7"/>
      <c r="F45" s="7"/>
      <c r="G45" s="7">
        <f>0.6+9.32+1.55+0.1</f>
        <v>11.57</v>
      </c>
      <c r="H45" s="7">
        <v>660</v>
      </c>
      <c r="I45" s="7"/>
      <c r="J45" s="7">
        <f>3*351.3</f>
        <v>1053.9000000000001</v>
      </c>
      <c r="K45" s="7"/>
      <c r="L45" s="16">
        <f t="shared" si="3"/>
        <v>660</v>
      </c>
      <c r="M45" s="7"/>
      <c r="N45" s="7"/>
      <c r="O45" s="7"/>
      <c r="P45" s="16">
        <f t="shared" si="4"/>
        <v>9441.8299999999981</v>
      </c>
      <c r="Q45" s="7">
        <v>1378.32</v>
      </c>
      <c r="R45" s="7">
        <v>608.44000000000005</v>
      </c>
      <c r="S45" s="7"/>
      <c r="T45" s="7"/>
      <c r="U45" s="16">
        <f t="shared" si="5"/>
        <v>1986.76</v>
      </c>
      <c r="V45" s="16">
        <f t="shared" si="6"/>
        <v>7455.0699999999979</v>
      </c>
    </row>
    <row r="46" spans="1:22" x14ac:dyDescent="0.25">
      <c r="A46" s="5" t="s">
        <v>48</v>
      </c>
      <c r="B46" s="6" t="s">
        <v>66</v>
      </c>
      <c r="C46" s="6" t="s">
        <v>85</v>
      </c>
      <c r="D46" s="16">
        <f>8287.5+241.38+241.38</f>
        <v>8770.2599999999984</v>
      </c>
      <c r="E46" s="7"/>
      <c r="F46" s="7"/>
      <c r="G46" s="7">
        <f>21.37+22.68+412.3+34.19+74.42+7.34</f>
        <v>572.30000000000007</v>
      </c>
      <c r="H46" s="7">
        <v>660</v>
      </c>
      <c r="I46" s="7"/>
      <c r="J46" s="7"/>
      <c r="K46" s="7"/>
      <c r="L46" s="16">
        <f t="shared" si="3"/>
        <v>660</v>
      </c>
      <c r="M46" s="7"/>
      <c r="N46" s="7"/>
      <c r="O46" s="7"/>
      <c r="P46" s="16">
        <f t="shared" si="4"/>
        <v>10002.559999999998</v>
      </c>
      <c r="Q46" s="7">
        <v>1532.52</v>
      </c>
      <c r="R46" s="7">
        <v>608.44000000000005</v>
      </c>
      <c r="S46" s="7">
        <v>11</v>
      </c>
      <c r="T46" s="7"/>
      <c r="U46" s="16">
        <f t="shared" si="5"/>
        <v>2151.96</v>
      </c>
      <c r="V46" s="16">
        <f t="shared" si="6"/>
        <v>7850.5999999999976</v>
      </c>
    </row>
    <row r="47" spans="1:22" x14ac:dyDescent="0.25">
      <c r="A47" s="5" t="s">
        <v>49</v>
      </c>
      <c r="B47" s="6" t="s">
        <v>58</v>
      </c>
      <c r="C47" s="6" t="s">
        <v>81</v>
      </c>
      <c r="D47" s="16">
        <f>2415.68+105.54+105.54</f>
        <v>2626.7599999999998</v>
      </c>
      <c r="E47" s="7">
        <v>1172.6600000000001</v>
      </c>
      <c r="F47" s="7">
        <v>1574.76</v>
      </c>
      <c r="G47" s="7">
        <f>2.81+0.47</f>
        <v>3.2800000000000002</v>
      </c>
      <c r="H47" s="7">
        <v>450</v>
      </c>
      <c r="I47" s="7">
        <v>224</v>
      </c>
      <c r="J47" s="7">
        <v>363.19</v>
      </c>
      <c r="K47" s="7"/>
      <c r="L47" s="16">
        <f t="shared" si="3"/>
        <v>674</v>
      </c>
      <c r="M47" s="7">
        <f>95.17+2.64+19.53+3.26+0.44+399.51</f>
        <v>520.54999999999995</v>
      </c>
      <c r="N47" s="7"/>
      <c r="O47" s="7"/>
      <c r="P47" s="16">
        <f t="shared" si="4"/>
        <v>6572.01</v>
      </c>
      <c r="Q47" s="7"/>
      <c r="R47" s="7">
        <f>345.29+127.84</f>
        <v>473.13</v>
      </c>
      <c r="S47" s="7">
        <f>11.47+10.57+120.78+33+24.16</f>
        <v>199.98</v>
      </c>
      <c r="T47" s="7">
        <v>159.43</v>
      </c>
      <c r="U47" s="16">
        <f t="shared" si="5"/>
        <v>832.54</v>
      </c>
      <c r="V47" s="16">
        <f t="shared" si="6"/>
        <v>5739.47</v>
      </c>
    </row>
    <row r="48" spans="1:22" x14ac:dyDescent="0.25">
      <c r="A48" s="5" t="s">
        <v>50</v>
      </c>
      <c r="B48" s="6" t="s">
        <v>66</v>
      </c>
      <c r="C48" s="6" t="s">
        <v>85</v>
      </c>
      <c r="D48" s="16">
        <f>8287.5+241.38+241.38</f>
        <v>8770.2599999999984</v>
      </c>
      <c r="E48" s="7"/>
      <c r="F48" s="7"/>
      <c r="G48" s="7">
        <f>20.28+23.44+68.37+11.4+7.29</f>
        <v>130.78</v>
      </c>
      <c r="H48" s="7">
        <v>660</v>
      </c>
      <c r="I48" s="7">
        <v>180.4</v>
      </c>
      <c r="J48" s="7"/>
      <c r="K48" s="7"/>
      <c r="L48" s="16">
        <f t="shared" si="3"/>
        <v>840.4</v>
      </c>
      <c r="M48" s="7"/>
      <c r="N48" s="7"/>
      <c r="O48" s="7">
        <v>1916.27</v>
      </c>
      <c r="P48" s="16">
        <f t="shared" si="4"/>
        <v>11657.71</v>
      </c>
      <c r="Q48" s="7">
        <v>1938.08</v>
      </c>
      <c r="R48" s="7">
        <v>608.44000000000005</v>
      </c>
      <c r="S48" s="7"/>
      <c r="T48" s="7">
        <v>180.4</v>
      </c>
      <c r="U48" s="16">
        <f t="shared" si="5"/>
        <v>2726.92</v>
      </c>
      <c r="V48" s="16">
        <f t="shared" si="6"/>
        <v>8930.7899999999991</v>
      </c>
    </row>
    <row r="49" spans="1:22" x14ac:dyDescent="0.25">
      <c r="A49" s="5" t="s">
        <v>51</v>
      </c>
      <c r="B49" s="6" t="s">
        <v>77</v>
      </c>
      <c r="C49" s="6" t="s">
        <v>83</v>
      </c>
      <c r="D49" s="16">
        <f>6995.3+190.17+203.75</f>
        <v>7389.22</v>
      </c>
      <c r="E49" s="7"/>
      <c r="F49" s="7"/>
      <c r="G49" s="7">
        <f>3.06+22.41+0.66+17.49+98.81+19.38+4.36</f>
        <v>166.17000000000002</v>
      </c>
      <c r="H49" s="7">
        <v>720</v>
      </c>
      <c r="I49" s="7">
        <v>167.2</v>
      </c>
      <c r="J49" s="7">
        <f>3*351.3</f>
        <v>1053.9000000000001</v>
      </c>
      <c r="K49" s="7"/>
      <c r="L49" s="16">
        <f t="shared" si="3"/>
        <v>887.2</v>
      </c>
      <c r="M49" s="7">
        <v>19.829999999999998</v>
      </c>
      <c r="N49" s="7"/>
      <c r="O49" s="7"/>
      <c r="P49" s="16">
        <f t="shared" si="4"/>
        <v>8462.42</v>
      </c>
      <c r="Q49" s="7">
        <v>1034</v>
      </c>
      <c r="R49" s="7">
        <v>608.44000000000005</v>
      </c>
      <c r="S49" s="7">
        <f>9.33+36.14</f>
        <v>45.47</v>
      </c>
      <c r="T49" s="7">
        <v>167.2</v>
      </c>
      <c r="U49" s="16">
        <f t="shared" si="5"/>
        <v>1855.1100000000001</v>
      </c>
      <c r="V49" s="16">
        <f t="shared" si="6"/>
        <v>6607.3099999999995</v>
      </c>
    </row>
    <row r="50" spans="1:22" x14ac:dyDescent="0.25">
      <c r="A50" s="5" t="s">
        <v>52</v>
      </c>
      <c r="B50" s="6" t="s">
        <v>78</v>
      </c>
      <c r="C50" s="6" t="s">
        <v>82</v>
      </c>
      <c r="D50" s="16">
        <f>9677.56+131.53+263.08</f>
        <v>10072.17</v>
      </c>
      <c r="E50" s="7"/>
      <c r="F50" s="7"/>
      <c r="G50" s="7"/>
      <c r="H50" s="7">
        <f>660+60</f>
        <v>720</v>
      </c>
      <c r="I50" s="7">
        <v>180.4</v>
      </c>
      <c r="J50" s="7"/>
      <c r="K50" s="7"/>
      <c r="L50" s="16">
        <f t="shared" si="3"/>
        <v>900.4</v>
      </c>
      <c r="M50" s="7">
        <v>225.51</v>
      </c>
      <c r="N50" s="7"/>
      <c r="O50" s="7"/>
      <c r="P50" s="16">
        <f t="shared" si="4"/>
        <v>11198.08</v>
      </c>
      <c r="Q50" s="7">
        <v>1795.18</v>
      </c>
      <c r="R50" s="7">
        <v>608.44000000000005</v>
      </c>
      <c r="S50" s="7">
        <v>322.58999999999997</v>
      </c>
      <c r="T50" s="7">
        <v>180.4</v>
      </c>
      <c r="U50" s="16">
        <f t="shared" si="5"/>
        <v>2906.61</v>
      </c>
      <c r="V50" s="16">
        <f t="shared" si="6"/>
        <v>8291.4699999999993</v>
      </c>
    </row>
    <row r="51" spans="1:22" x14ac:dyDescent="0.25">
      <c r="A51" s="6" t="s">
        <v>53</v>
      </c>
      <c r="B51" s="6" t="s">
        <v>73</v>
      </c>
      <c r="C51" s="6" t="s">
        <v>83</v>
      </c>
      <c r="D51" s="16">
        <f>3623.52+105.54+38.69</f>
        <v>3767.75</v>
      </c>
      <c r="E51" s="7"/>
      <c r="F51" s="7"/>
      <c r="G51" s="7">
        <f>1.41+4.98+0.83+24.46+0.24</f>
        <v>31.919999999999998</v>
      </c>
      <c r="H51" s="7">
        <v>660</v>
      </c>
      <c r="I51" s="7">
        <v>528</v>
      </c>
      <c r="J51" s="7">
        <f>372.32</f>
        <v>372.32</v>
      </c>
      <c r="K51" s="7"/>
      <c r="L51" s="16">
        <f t="shared" si="3"/>
        <v>1188</v>
      </c>
      <c r="M51" s="7">
        <v>89.31</v>
      </c>
      <c r="N51" s="7"/>
      <c r="O51" s="7"/>
      <c r="P51" s="16">
        <f t="shared" si="4"/>
        <v>5076.9800000000005</v>
      </c>
      <c r="Q51" s="7">
        <v>163.33000000000001</v>
      </c>
      <c r="R51" s="7">
        <v>423.9</v>
      </c>
      <c r="S51" s="7">
        <f>10.87+36.24+120.78</f>
        <v>167.89</v>
      </c>
      <c r="T51" s="7">
        <v>159.43</v>
      </c>
      <c r="U51" s="16">
        <f t="shared" si="5"/>
        <v>914.55</v>
      </c>
      <c r="V51" s="16">
        <f t="shared" si="6"/>
        <v>4162.43</v>
      </c>
    </row>
    <row r="52" spans="1:22" x14ac:dyDescent="0.25">
      <c r="A52" s="6" t="s">
        <v>54</v>
      </c>
      <c r="B52" s="6" t="s">
        <v>79</v>
      </c>
      <c r="C52" s="6" t="s">
        <v>87</v>
      </c>
      <c r="D52" s="16">
        <f>6995.3+203.75+203.75</f>
        <v>7402.8</v>
      </c>
      <c r="E52" s="7"/>
      <c r="F52" s="7"/>
      <c r="G52" s="7">
        <f>5.5+6.39+40.22+37.6+12.97+1.98</f>
        <v>104.66000000000001</v>
      </c>
      <c r="H52" s="7">
        <v>660</v>
      </c>
      <c r="I52" s="7">
        <v>180.4</v>
      </c>
      <c r="J52" s="7"/>
      <c r="K52" s="7"/>
      <c r="L52" s="16">
        <f t="shared" si="3"/>
        <v>840.4</v>
      </c>
      <c r="M52" s="7"/>
      <c r="N52" s="7"/>
      <c r="O52" s="7"/>
      <c r="P52" s="16">
        <f t="shared" si="4"/>
        <v>8347.86</v>
      </c>
      <c r="Q52" s="7">
        <v>1027.8699999999999</v>
      </c>
      <c r="R52" s="7">
        <v>608.44000000000005</v>
      </c>
      <c r="S52" s="7"/>
      <c r="T52" s="7">
        <v>180.4</v>
      </c>
      <c r="U52" s="16">
        <f t="shared" si="5"/>
        <v>1816.71</v>
      </c>
      <c r="V52" s="16">
        <f t="shared" si="6"/>
        <v>6531.1500000000005</v>
      </c>
    </row>
    <row r="53" spans="1:22" x14ac:dyDescent="0.25">
      <c r="A53" s="5" t="s">
        <v>111</v>
      </c>
      <c r="B53" s="6" t="s">
        <v>62</v>
      </c>
      <c r="C53" s="6" t="s">
        <v>85</v>
      </c>
      <c r="D53" s="16">
        <f>1348.19+78.54</f>
        <v>1426.73</v>
      </c>
      <c r="E53" s="7"/>
      <c r="F53" s="7"/>
      <c r="G53" s="7"/>
      <c r="H53" s="7">
        <v>690</v>
      </c>
      <c r="I53" s="7">
        <v>352</v>
      </c>
      <c r="J53" s="7"/>
      <c r="K53" s="7"/>
      <c r="L53" s="16">
        <f t="shared" si="3"/>
        <v>1042</v>
      </c>
      <c r="M53" s="7"/>
      <c r="N53" s="7"/>
      <c r="O53" s="7"/>
      <c r="P53" s="16">
        <f t="shared" si="4"/>
        <v>2468.73</v>
      </c>
      <c r="Q53" s="7"/>
      <c r="R53" s="7"/>
      <c r="S53" s="7"/>
      <c r="T53" s="7"/>
      <c r="U53" s="16">
        <f t="shared" si="5"/>
        <v>0</v>
      </c>
      <c r="V53" s="16">
        <f t="shared" si="6"/>
        <v>2468.73</v>
      </c>
    </row>
    <row r="54" spans="1:22" x14ac:dyDescent="0.25">
      <c r="A54" s="5" t="s">
        <v>55</v>
      </c>
      <c r="B54" s="6" t="s">
        <v>58</v>
      </c>
      <c r="C54" s="6" t="s">
        <v>85</v>
      </c>
      <c r="D54" s="16">
        <f>1690.98+105.54+105</f>
        <v>1901.52</v>
      </c>
      <c r="E54" s="7">
        <v>1876.26</v>
      </c>
      <c r="F54" s="7"/>
      <c r="G54" s="7">
        <f>2.72+0.45</f>
        <v>3.1700000000000004</v>
      </c>
      <c r="H54" s="7">
        <v>300</v>
      </c>
      <c r="I54" s="7"/>
      <c r="J54" s="7">
        <f>3*331.62</f>
        <v>994.86</v>
      </c>
      <c r="K54" s="7"/>
      <c r="L54" s="16">
        <f t="shared" si="3"/>
        <v>300</v>
      </c>
      <c r="M54" s="7">
        <f>5.02+2.72+1.29+627.37</f>
        <v>636.4</v>
      </c>
      <c r="N54" s="7"/>
      <c r="O54" s="7"/>
      <c r="P54" s="16">
        <f t="shared" si="4"/>
        <v>4717.3499999999995</v>
      </c>
      <c r="Q54" s="7">
        <v>28.47</v>
      </c>
      <c r="R54" s="7">
        <f>267.99+225.85</f>
        <v>493.84000000000003</v>
      </c>
      <c r="S54" s="7">
        <f>120.78+11</f>
        <v>131.78</v>
      </c>
      <c r="T54" s="7"/>
      <c r="U54" s="16">
        <f t="shared" si="5"/>
        <v>654.09</v>
      </c>
      <c r="V54" s="16">
        <f t="shared" si="6"/>
        <v>4063.2599999999993</v>
      </c>
    </row>
    <row r="55" spans="1:22" x14ac:dyDescent="0.25">
      <c r="A55" s="6" t="s">
        <v>56</v>
      </c>
      <c r="B55" s="6" t="s">
        <v>80</v>
      </c>
      <c r="C55" s="6" t="s">
        <v>89</v>
      </c>
      <c r="D55" s="16">
        <f>6995.3+203.75+203.75</f>
        <v>7402.8</v>
      </c>
      <c r="E55" s="7"/>
      <c r="F55" s="7"/>
      <c r="G55" s="7">
        <f>3.06+22.41+0.64+10.49+93.56+17.34+4.35</f>
        <v>151.85</v>
      </c>
      <c r="H55" s="7">
        <v>720</v>
      </c>
      <c r="I55" s="7"/>
      <c r="J55" s="7"/>
      <c r="K55" s="7"/>
      <c r="L55" s="16">
        <f t="shared" si="3"/>
        <v>720</v>
      </c>
      <c r="M55" s="7"/>
      <c r="N55" s="7"/>
      <c r="O55" s="7">
        <v>3809.6</v>
      </c>
      <c r="P55" s="16">
        <f t="shared" si="4"/>
        <v>12084.250000000002</v>
      </c>
      <c r="Q55" s="7">
        <v>2088.4899999999998</v>
      </c>
      <c r="R55" s="7">
        <v>608.44000000000005</v>
      </c>
      <c r="S55" s="7"/>
      <c r="T55" s="7"/>
      <c r="U55" s="16">
        <f t="shared" si="5"/>
        <v>2696.93</v>
      </c>
      <c r="V55" s="16">
        <f t="shared" si="6"/>
        <v>9387.3200000000015</v>
      </c>
    </row>
    <row r="56" spans="1:22" x14ac:dyDescent="0.25">
      <c r="A56" s="6" t="s">
        <v>57</v>
      </c>
      <c r="B56" s="6" t="s">
        <v>62</v>
      </c>
      <c r="C56" s="6" t="s">
        <v>91</v>
      </c>
      <c r="D56" s="16">
        <f>1348.19+78.54</f>
        <v>1426.73</v>
      </c>
      <c r="E56" s="7"/>
      <c r="F56" s="7"/>
      <c r="G56" s="7"/>
      <c r="H56" s="7">
        <v>660</v>
      </c>
      <c r="I56" s="7">
        <v>352</v>
      </c>
      <c r="J56" s="7"/>
      <c r="K56" s="7"/>
      <c r="L56" s="16">
        <f t="shared" si="3"/>
        <v>1012</v>
      </c>
      <c r="M56" s="16"/>
      <c r="N56" s="7"/>
      <c r="O56" s="7"/>
      <c r="P56" s="7">
        <f t="shared" si="4"/>
        <v>2438.73</v>
      </c>
      <c r="Q56" s="7"/>
      <c r="R56" s="16"/>
      <c r="S56" s="16"/>
      <c r="T56" s="16"/>
      <c r="U56" s="7">
        <f t="shared" si="5"/>
        <v>0</v>
      </c>
      <c r="V56" s="7">
        <f t="shared" si="6"/>
        <v>2438.73</v>
      </c>
    </row>
    <row r="57" spans="1:22" x14ac:dyDescent="0.25">
      <c r="H57" s="1">
        <f>SUM(H5:H56)</f>
        <v>32280</v>
      </c>
      <c r="I57" s="1">
        <f>SUM(I5:I56)</f>
        <v>10029.529999999999</v>
      </c>
      <c r="J57" s="1">
        <f>SUM(J5:J56)</f>
        <v>19754.79</v>
      </c>
      <c r="K57" s="1"/>
      <c r="L57" s="1"/>
      <c r="P57" s="3"/>
      <c r="V57" s="1">
        <f>SUM(V5:V56)</f>
        <v>304598.87000000005</v>
      </c>
    </row>
    <row r="58" spans="1:22" x14ac:dyDescent="0.25">
      <c r="H58" s="1"/>
      <c r="I58" s="1"/>
      <c r="J58" s="1"/>
      <c r="K58" s="1"/>
      <c r="L58" s="1"/>
      <c r="P58" s="3"/>
      <c r="V58" s="1"/>
    </row>
    <row r="59" spans="1:22" x14ac:dyDescent="0.25">
      <c r="P59" s="3"/>
    </row>
    <row r="60" spans="1:22" ht="19.5" x14ac:dyDescent="0.3">
      <c r="A60" s="17" t="s">
        <v>95</v>
      </c>
      <c r="P60" s="3"/>
    </row>
    <row r="61" spans="1:22" ht="19.5" x14ac:dyDescent="0.25">
      <c r="A61" s="20" t="s">
        <v>0</v>
      </c>
      <c r="B61" s="21" t="s">
        <v>1</v>
      </c>
      <c r="C61" s="21" t="s">
        <v>2</v>
      </c>
      <c r="D61" s="21" t="s">
        <v>98</v>
      </c>
      <c r="E61" s="21" t="s">
        <v>97</v>
      </c>
      <c r="F61" s="21" t="s">
        <v>10</v>
      </c>
      <c r="G61" s="20" t="s">
        <v>11</v>
      </c>
      <c r="H61" s="18"/>
      <c r="I61" s="18"/>
      <c r="J61" s="18"/>
      <c r="K61" s="18"/>
      <c r="L61" s="21" t="s">
        <v>96</v>
      </c>
      <c r="M61" s="19"/>
      <c r="N61" s="19"/>
      <c r="O61" s="19"/>
      <c r="P61" s="19"/>
      <c r="Q61" s="19"/>
      <c r="R61" s="19"/>
      <c r="S61" s="19"/>
      <c r="T61" s="19"/>
    </row>
    <row r="62" spans="1:22" x14ac:dyDescent="0.25">
      <c r="A62" s="6" t="s">
        <v>23</v>
      </c>
      <c r="B62" s="6" t="s">
        <v>63</v>
      </c>
      <c r="C62" s="6" t="s">
        <v>87</v>
      </c>
      <c r="D62" s="16">
        <v>4697.8500000000004</v>
      </c>
      <c r="P62" s="3"/>
    </row>
    <row r="63" spans="1:22" x14ac:dyDescent="0.25">
      <c r="A63" s="5" t="s">
        <v>34</v>
      </c>
      <c r="B63" s="6" t="s">
        <v>67</v>
      </c>
      <c r="C63" s="6" t="s">
        <v>85</v>
      </c>
      <c r="D63" s="16">
        <v>4023.06</v>
      </c>
      <c r="P63" s="3"/>
    </row>
    <row r="64" spans="1:22" x14ac:dyDescent="0.25">
      <c r="A64" s="6" t="s">
        <v>40</v>
      </c>
      <c r="B64" s="6" t="s">
        <v>73</v>
      </c>
      <c r="C64" s="6" t="s">
        <v>83</v>
      </c>
      <c r="D64" s="16"/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  <row r="121" spans="16:16" x14ac:dyDescent="0.25">
      <c r="P121" s="3"/>
    </row>
  </sheetData>
  <autoFilter ref="A4:V64"/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showGridLines="0" zoomScaleNormal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E43" sqref="E43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140625" style="2" customWidth="1"/>
    <col min="15" max="15" width="16.28515625" style="2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4" t="s">
        <v>116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92</v>
      </c>
      <c r="U4" s="20" t="s">
        <v>13</v>
      </c>
      <c r="V4" s="21" t="s">
        <v>14</v>
      </c>
    </row>
    <row r="5" spans="1:22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f>594+147</f>
        <v>741</v>
      </c>
      <c r="I5" s="7">
        <v>432</v>
      </c>
      <c r="J5" s="22">
        <v>366.27</v>
      </c>
      <c r="K5" s="7"/>
      <c r="L5" s="16">
        <f t="shared" ref="L5:L36" si="0">H5+I5+K5+J5</f>
        <v>1539.27</v>
      </c>
      <c r="M5" s="7"/>
      <c r="N5" s="7"/>
      <c r="O5" s="7"/>
      <c r="P5" s="16">
        <f t="shared" ref="P5:P36" si="1">D5+E5+F5+G5+L5+M5+N5+O5</f>
        <v>5162.79</v>
      </c>
      <c r="Q5" s="7">
        <v>128.94</v>
      </c>
      <c r="R5" s="7">
        <v>398.59</v>
      </c>
      <c r="S5" s="7">
        <f>11+36.24</f>
        <v>47.24</v>
      </c>
      <c r="T5" s="7">
        <v>130.44999999999999</v>
      </c>
      <c r="U5" s="16">
        <f t="shared" ref="U5:U36" si="2">Q5+R5+S5+T5</f>
        <v>705.22</v>
      </c>
      <c r="V5" s="16">
        <f t="shared" ref="V5:V36" si="3">P5-U5</f>
        <v>4457.57</v>
      </c>
    </row>
    <row r="6" spans="1:22" x14ac:dyDescent="0.25">
      <c r="A6" s="5" t="s">
        <v>17</v>
      </c>
      <c r="B6" s="6" t="s">
        <v>59</v>
      </c>
      <c r="C6" s="6" t="s">
        <v>82</v>
      </c>
      <c r="D6" s="16">
        <v>1207.8399999999999</v>
      </c>
      <c r="E6" s="7">
        <v>2415.6799999999998</v>
      </c>
      <c r="F6" s="7"/>
      <c r="G6" s="7">
        <f>23.1+3.85</f>
        <v>26.950000000000003</v>
      </c>
      <c r="H6" s="7">
        <f>165+180</f>
        <v>345</v>
      </c>
      <c r="I6" s="7"/>
      <c r="J6" s="22"/>
      <c r="K6" s="7"/>
      <c r="L6" s="16">
        <f t="shared" si="0"/>
        <v>345</v>
      </c>
      <c r="M6" s="7">
        <f>61.45+14.09+829.12</f>
        <v>904.66</v>
      </c>
      <c r="N6" s="7"/>
      <c r="O6" s="7"/>
      <c r="P6" s="16">
        <f t="shared" si="1"/>
        <v>4900.1299999999992</v>
      </c>
      <c r="Q6" s="7">
        <v>50.14</v>
      </c>
      <c r="R6" s="7">
        <f>135.83+364.81</f>
        <v>500.64</v>
      </c>
      <c r="S6" s="7"/>
      <c r="T6" s="7"/>
      <c r="U6" s="16">
        <f t="shared" si="2"/>
        <v>550.78</v>
      </c>
      <c r="V6" s="16">
        <f t="shared" si="3"/>
        <v>4349.3499999999995</v>
      </c>
    </row>
    <row r="7" spans="1:22" x14ac:dyDescent="0.25">
      <c r="A7" s="8" t="s">
        <v>18</v>
      </c>
      <c r="B7" s="9" t="s">
        <v>60</v>
      </c>
      <c r="C7" s="9" t="s">
        <v>83</v>
      </c>
      <c r="D7" s="16">
        <v>12709.66</v>
      </c>
      <c r="E7" s="7"/>
      <c r="F7" s="7"/>
      <c r="G7" s="7"/>
      <c r="H7" s="7">
        <f>180+594</f>
        <v>774</v>
      </c>
      <c r="I7" s="7"/>
      <c r="J7" s="22"/>
      <c r="K7" s="7"/>
      <c r="L7" s="16">
        <f t="shared" si="0"/>
        <v>774</v>
      </c>
      <c r="M7" s="7"/>
      <c r="N7" s="7"/>
      <c r="O7" s="7"/>
      <c r="P7" s="16">
        <f t="shared" si="1"/>
        <v>13483.66</v>
      </c>
      <c r="Q7" s="7">
        <v>2406.34</v>
      </c>
      <c r="R7" s="7">
        <v>608.44000000000005</v>
      </c>
      <c r="S7" s="7"/>
      <c r="T7" s="7"/>
      <c r="U7" s="16">
        <f t="shared" si="2"/>
        <v>3014.78</v>
      </c>
      <c r="V7" s="16">
        <f t="shared" si="3"/>
        <v>10468.879999999999</v>
      </c>
    </row>
    <row r="8" spans="1:22" x14ac:dyDescent="0.25">
      <c r="A8" s="8" t="s">
        <v>19</v>
      </c>
      <c r="B8" s="9" t="s">
        <v>61</v>
      </c>
      <c r="C8" s="9" t="s">
        <v>84</v>
      </c>
      <c r="D8" s="16">
        <v>5304.22</v>
      </c>
      <c r="E8" s="7"/>
      <c r="F8" s="7"/>
      <c r="G8" s="7"/>
      <c r="H8" s="7">
        <f>150+594</f>
        <v>744</v>
      </c>
      <c r="I8" s="7">
        <v>136.80000000000001</v>
      </c>
      <c r="J8" s="22"/>
      <c r="K8" s="7"/>
      <c r="L8" s="16">
        <f t="shared" si="0"/>
        <v>880.8</v>
      </c>
      <c r="M8" s="7"/>
      <c r="N8" s="7"/>
      <c r="O8" s="7"/>
      <c r="P8" s="16">
        <f t="shared" si="1"/>
        <v>6185.02</v>
      </c>
      <c r="Q8" s="7">
        <v>340.73</v>
      </c>
      <c r="R8" s="7">
        <v>583.46</v>
      </c>
      <c r="S8" s="7"/>
      <c r="T8" s="7">
        <v>136.80000000000001</v>
      </c>
      <c r="U8" s="16">
        <f t="shared" si="2"/>
        <v>1060.99</v>
      </c>
      <c r="V8" s="16">
        <f t="shared" si="3"/>
        <v>5124.0300000000007</v>
      </c>
    </row>
    <row r="9" spans="1:22" x14ac:dyDescent="0.25">
      <c r="A9" s="6" t="s">
        <v>20</v>
      </c>
      <c r="B9" s="6" t="s">
        <v>58</v>
      </c>
      <c r="C9" s="6" t="s">
        <v>81</v>
      </c>
      <c r="D9" s="16">
        <v>3623.52</v>
      </c>
      <c r="E9" s="7"/>
      <c r="F9" s="7"/>
      <c r="G9" s="7"/>
      <c r="H9" s="7">
        <f>177+594</f>
        <v>771</v>
      </c>
      <c r="I9" s="7">
        <v>291.60000000000002</v>
      </c>
      <c r="J9" s="22">
        <v>214.9</v>
      </c>
      <c r="K9" s="7"/>
      <c r="L9" s="16">
        <f t="shared" si="0"/>
        <v>1277.5</v>
      </c>
      <c r="M9" s="7"/>
      <c r="N9" s="7"/>
      <c r="O9" s="7"/>
      <c r="P9" s="16">
        <f t="shared" si="1"/>
        <v>4901.0200000000004</v>
      </c>
      <c r="Q9" s="7">
        <v>100.5</v>
      </c>
      <c r="R9" s="7">
        <v>398.59</v>
      </c>
      <c r="S9" s="7">
        <f>22+36.24</f>
        <v>58.24</v>
      </c>
      <c r="T9" s="7">
        <v>130.44999999999999</v>
      </c>
      <c r="U9" s="16">
        <f t="shared" si="2"/>
        <v>687.78</v>
      </c>
      <c r="V9" s="16">
        <f t="shared" si="3"/>
        <v>4213.2400000000007</v>
      </c>
    </row>
    <row r="10" spans="1:22" x14ac:dyDescent="0.25">
      <c r="A10" s="5" t="s">
        <v>105</v>
      </c>
      <c r="B10" s="6" t="s">
        <v>62</v>
      </c>
      <c r="C10" s="6" t="s">
        <v>83</v>
      </c>
      <c r="D10" s="16">
        <v>1348.19</v>
      </c>
      <c r="E10" s="7"/>
      <c r="F10" s="7"/>
      <c r="G10" s="7"/>
      <c r="H10" s="7">
        <f>204+594</f>
        <v>798</v>
      </c>
      <c r="I10" s="7">
        <v>154.80000000000001</v>
      </c>
      <c r="J10" s="22"/>
      <c r="K10" s="7"/>
      <c r="L10" s="16">
        <f t="shared" si="0"/>
        <v>952.8</v>
      </c>
      <c r="M10" s="7"/>
      <c r="N10" s="7"/>
      <c r="O10" s="7"/>
      <c r="P10" s="16">
        <f t="shared" si="1"/>
        <v>2300.9899999999998</v>
      </c>
      <c r="Q10" s="7"/>
      <c r="R10" s="7"/>
      <c r="S10" s="7"/>
      <c r="T10" s="7"/>
      <c r="U10" s="16">
        <f t="shared" si="2"/>
        <v>0</v>
      </c>
      <c r="V10" s="16">
        <f t="shared" si="3"/>
        <v>2300.9899999999998</v>
      </c>
    </row>
    <row r="11" spans="1:22" x14ac:dyDescent="0.25">
      <c r="A11" s="5" t="s">
        <v>21</v>
      </c>
      <c r="B11" s="6" t="s">
        <v>58</v>
      </c>
      <c r="C11" s="6" t="s">
        <v>85</v>
      </c>
      <c r="D11" s="16">
        <v>3623.52</v>
      </c>
      <c r="E11" s="7"/>
      <c r="F11" s="7"/>
      <c r="G11" s="7"/>
      <c r="H11" s="7">
        <f>156+594</f>
        <v>750</v>
      </c>
      <c r="I11" s="7">
        <v>136.80000000000001</v>
      </c>
      <c r="J11" s="22"/>
      <c r="K11" s="7"/>
      <c r="L11" s="16">
        <f t="shared" si="0"/>
        <v>886.8</v>
      </c>
      <c r="M11" s="7"/>
      <c r="N11" s="7"/>
      <c r="O11" s="7"/>
      <c r="P11" s="16">
        <f t="shared" si="1"/>
        <v>4510.32</v>
      </c>
      <c r="Q11" s="7">
        <v>128.94</v>
      </c>
      <c r="R11" s="7">
        <v>398.59</v>
      </c>
      <c r="S11" s="7">
        <v>36.24</v>
      </c>
      <c r="T11" s="7">
        <v>130.44999999999999</v>
      </c>
      <c r="U11" s="16">
        <f t="shared" si="2"/>
        <v>694.22</v>
      </c>
      <c r="V11" s="16">
        <f t="shared" si="3"/>
        <v>3816.0999999999995</v>
      </c>
    </row>
    <row r="12" spans="1:22" x14ac:dyDescent="0.25">
      <c r="A12" s="5" t="s">
        <v>22</v>
      </c>
      <c r="B12" s="6" t="s">
        <v>62</v>
      </c>
      <c r="C12" s="6" t="s">
        <v>86</v>
      </c>
      <c r="D12" s="16">
        <v>1348.19</v>
      </c>
      <c r="E12" s="7"/>
      <c r="F12" s="7"/>
      <c r="G12" s="7"/>
      <c r="H12" s="7">
        <f>150+594</f>
        <v>744</v>
      </c>
      <c r="I12" s="7">
        <v>291.60000000000002</v>
      </c>
      <c r="J12" s="22"/>
      <c r="K12" s="7"/>
      <c r="L12" s="16">
        <f t="shared" si="0"/>
        <v>1035.5999999999999</v>
      </c>
      <c r="M12" s="7"/>
      <c r="N12" s="7"/>
      <c r="O12" s="7"/>
      <c r="P12" s="16">
        <f t="shared" si="1"/>
        <v>2383.79</v>
      </c>
      <c r="Q12" s="7"/>
      <c r="R12" s="7"/>
      <c r="S12" s="7"/>
      <c r="T12" s="7"/>
      <c r="U12" s="16">
        <f t="shared" si="2"/>
        <v>0</v>
      </c>
      <c r="V12" s="16">
        <f t="shared" si="3"/>
        <v>2383.79</v>
      </c>
    </row>
    <row r="13" spans="1:22" x14ac:dyDescent="0.25">
      <c r="A13" s="6" t="s">
        <v>23</v>
      </c>
      <c r="B13" s="6" t="s">
        <v>63</v>
      </c>
      <c r="C13" s="6" t="s">
        <v>87</v>
      </c>
      <c r="D13" s="16">
        <v>4838.78</v>
      </c>
      <c r="E13" s="7">
        <v>4697.84</v>
      </c>
      <c r="F13" s="7"/>
      <c r="G13" s="7"/>
      <c r="H13" s="7">
        <f>165+297</f>
        <v>462</v>
      </c>
      <c r="I13" s="7"/>
      <c r="J13" s="22"/>
      <c r="K13" s="7"/>
      <c r="L13" s="16">
        <f t="shared" si="0"/>
        <v>462</v>
      </c>
      <c r="M13" s="10">
        <v>1565.95</v>
      </c>
      <c r="N13" s="7"/>
      <c r="O13" s="7"/>
      <c r="P13" s="16">
        <f t="shared" si="1"/>
        <v>11564.57</v>
      </c>
      <c r="Q13" s="7">
        <v>410.32</v>
      </c>
      <c r="R13" s="7">
        <f>187.91+420.53</f>
        <v>608.43999999999994</v>
      </c>
      <c r="S13" s="7"/>
      <c r="T13" s="7"/>
      <c r="U13" s="16">
        <f t="shared" si="2"/>
        <v>1018.76</v>
      </c>
      <c r="V13" s="16">
        <f t="shared" si="3"/>
        <v>10545.81</v>
      </c>
    </row>
    <row r="14" spans="1:22" x14ac:dyDescent="0.25">
      <c r="A14" s="6" t="s">
        <v>24</v>
      </c>
      <c r="B14" s="6" t="s">
        <v>58</v>
      </c>
      <c r="C14" s="6" t="s">
        <v>85</v>
      </c>
      <c r="D14" s="16">
        <v>3623.52</v>
      </c>
      <c r="E14" s="7"/>
      <c r="F14" s="7"/>
      <c r="G14" s="7"/>
      <c r="H14" s="7">
        <f>180+594</f>
        <v>774</v>
      </c>
      <c r="I14" s="7">
        <v>291.60000000000002</v>
      </c>
      <c r="J14" s="22"/>
      <c r="K14" s="7"/>
      <c r="L14" s="16">
        <f t="shared" si="0"/>
        <v>1065.5999999999999</v>
      </c>
      <c r="M14" s="7"/>
      <c r="N14" s="7"/>
      <c r="O14" s="7"/>
      <c r="P14" s="16">
        <f t="shared" si="1"/>
        <v>4689.12</v>
      </c>
      <c r="Q14" s="7">
        <v>128.94</v>
      </c>
      <c r="R14" s="7">
        <v>398.59</v>
      </c>
      <c r="S14" s="7"/>
      <c r="T14" s="7">
        <v>130.44999999999999</v>
      </c>
      <c r="U14" s="16">
        <f t="shared" si="2"/>
        <v>657.98</v>
      </c>
      <c r="V14" s="16">
        <f t="shared" si="3"/>
        <v>4031.14</v>
      </c>
    </row>
    <row r="15" spans="1:22" x14ac:dyDescent="0.25">
      <c r="A15" s="11" t="s">
        <v>25</v>
      </c>
      <c r="B15" s="12" t="s">
        <v>64</v>
      </c>
      <c r="C15" s="12" t="s">
        <v>88</v>
      </c>
      <c r="D15" s="16">
        <v>9677.56</v>
      </c>
      <c r="E15" s="7"/>
      <c r="F15" s="7"/>
      <c r="G15" s="7"/>
      <c r="H15" s="7">
        <f>150+462</f>
        <v>612</v>
      </c>
      <c r="I15" s="7">
        <v>120.4</v>
      </c>
      <c r="J15" s="22">
        <v>692.25</v>
      </c>
      <c r="K15" s="7"/>
      <c r="L15" s="16">
        <f t="shared" si="0"/>
        <v>1424.65</v>
      </c>
      <c r="M15" s="7"/>
      <c r="N15" s="7"/>
      <c r="O15" s="7"/>
      <c r="P15" s="16">
        <f t="shared" si="1"/>
        <v>11102.21</v>
      </c>
      <c r="Q15" s="7">
        <v>1624.65</v>
      </c>
      <c r="R15" s="7">
        <v>608.44000000000005</v>
      </c>
      <c r="S15" s="7"/>
      <c r="T15" s="7">
        <v>120.4</v>
      </c>
      <c r="U15" s="16">
        <f t="shared" si="2"/>
        <v>2353.4900000000002</v>
      </c>
      <c r="V15" s="16">
        <f t="shared" si="3"/>
        <v>8748.7199999999993</v>
      </c>
    </row>
    <row r="16" spans="1:22" x14ac:dyDescent="0.25">
      <c r="A16" s="5" t="s">
        <v>103</v>
      </c>
      <c r="B16" s="6" t="s">
        <v>62</v>
      </c>
      <c r="C16" s="6" t="s">
        <v>89</v>
      </c>
      <c r="D16" s="16">
        <v>1348.19</v>
      </c>
      <c r="E16" s="7"/>
      <c r="F16" s="7"/>
      <c r="G16" s="7"/>
      <c r="H16" s="7">
        <f>153+594</f>
        <v>747</v>
      </c>
      <c r="I16" s="7">
        <v>288</v>
      </c>
      <c r="J16" s="22"/>
      <c r="K16" s="7"/>
      <c r="L16" s="16">
        <f t="shared" si="0"/>
        <v>1035</v>
      </c>
      <c r="M16" s="7"/>
      <c r="N16" s="7"/>
      <c r="O16" s="7"/>
      <c r="P16" s="16">
        <f t="shared" si="1"/>
        <v>2383.19</v>
      </c>
      <c r="Q16" s="7"/>
      <c r="R16" s="7"/>
      <c r="S16" s="7"/>
      <c r="T16" s="7"/>
      <c r="U16" s="16">
        <f t="shared" si="2"/>
        <v>0</v>
      </c>
      <c r="V16" s="16">
        <f t="shared" si="3"/>
        <v>2383.19</v>
      </c>
    </row>
    <row r="17" spans="1:22" x14ac:dyDescent="0.25">
      <c r="A17" s="11" t="s">
        <v>99</v>
      </c>
      <c r="B17" s="13" t="s">
        <v>65</v>
      </c>
      <c r="C17" s="13" t="s">
        <v>84</v>
      </c>
      <c r="D17" s="16"/>
      <c r="E17" s="7"/>
      <c r="F17" s="7"/>
      <c r="G17" s="7"/>
      <c r="H17" s="7"/>
      <c r="I17" s="7"/>
      <c r="J17" s="22">
        <v>840.79</v>
      </c>
      <c r="K17" s="7"/>
      <c r="L17" s="16">
        <f t="shared" si="0"/>
        <v>840.79</v>
      </c>
      <c r="M17" s="7"/>
      <c r="N17" s="7"/>
      <c r="O17" s="7">
        <v>5589</v>
      </c>
      <c r="P17" s="16">
        <f t="shared" si="1"/>
        <v>6429.79</v>
      </c>
      <c r="Q17" s="7">
        <v>615.48</v>
      </c>
      <c r="R17" s="7"/>
      <c r="S17" s="7"/>
      <c r="T17" s="7"/>
      <c r="U17" s="16">
        <f t="shared" si="2"/>
        <v>615.48</v>
      </c>
      <c r="V17" s="16">
        <f t="shared" si="3"/>
        <v>5814.3099999999995</v>
      </c>
    </row>
    <row r="18" spans="1:22" x14ac:dyDescent="0.25">
      <c r="A18" s="5" t="s">
        <v>26</v>
      </c>
      <c r="B18" s="6" t="s">
        <v>58</v>
      </c>
      <c r="C18" s="6" t="s">
        <v>81</v>
      </c>
      <c r="D18" s="16">
        <v>3623.52</v>
      </c>
      <c r="E18" s="7"/>
      <c r="F18" s="7"/>
      <c r="G18" s="7"/>
      <c r="H18" s="7">
        <f>180+594</f>
        <v>774</v>
      </c>
      <c r="I18" s="7">
        <v>291.60000000000002</v>
      </c>
      <c r="J18" s="22">
        <v>326.51</v>
      </c>
      <c r="K18" s="7"/>
      <c r="L18" s="16">
        <f t="shared" si="0"/>
        <v>1392.11</v>
      </c>
      <c r="M18" s="7"/>
      <c r="N18" s="7"/>
      <c r="O18" s="7"/>
      <c r="P18" s="16">
        <f t="shared" si="1"/>
        <v>5015.63</v>
      </c>
      <c r="Q18" s="7">
        <v>128.94</v>
      </c>
      <c r="R18" s="7">
        <v>398.59</v>
      </c>
      <c r="S18" s="7">
        <f>11+36.24</f>
        <v>47.24</v>
      </c>
      <c r="T18" s="7">
        <v>130.44999999999999</v>
      </c>
      <c r="U18" s="16">
        <f t="shared" si="2"/>
        <v>705.22</v>
      </c>
      <c r="V18" s="16">
        <f t="shared" si="3"/>
        <v>4310.41</v>
      </c>
    </row>
    <row r="19" spans="1:22" x14ac:dyDescent="0.25">
      <c r="A19" s="5" t="s">
        <v>27</v>
      </c>
      <c r="B19" s="6" t="s">
        <v>66</v>
      </c>
      <c r="C19" s="6" t="s">
        <v>86</v>
      </c>
      <c r="D19" s="16">
        <v>8287.5</v>
      </c>
      <c r="E19" s="7"/>
      <c r="F19" s="7"/>
      <c r="G19" s="7"/>
      <c r="H19" s="7">
        <f>153+594</f>
        <v>747</v>
      </c>
      <c r="I19" s="7">
        <v>154.80000000000001</v>
      </c>
      <c r="J19" s="22"/>
      <c r="K19" s="7"/>
      <c r="L19" s="16">
        <f t="shared" si="0"/>
        <v>901.8</v>
      </c>
      <c r="M19" s="7"/>
      <c r="N19" s="7"/>
      <c r="O19" s="7"/>
      <c r="P19" s="16">
        <f t="shared" si="1"/>
        <v>9189.2999999999993</v>
      </c>
      <c r="Q19" s="7">
        <v>1242.3800000000001</v>
      </c>
      <c r="R19" s="7">
        <v>608.44000000000005</v>
      </c>
      <c r="S19" s="7"/>
      <c r="T19" s="7">
        <v>154.80000000000001</v>
      </c>
      <c r="U19" s="16">
        <f t="shared" si="2"/>
        <v>2005.6200000000001</v>
      </c>
      <c r="V19" s="16">
        <f t="shared" si="3"/>
        <v>7183.6799999999994</v>
      </c>
    </row>
    <row r="20" spans="1:22" x14ac:dyDescent="0.25">
      <c r="A20" s="5" t="s">
        <v>28</v>
      </c>
      <c r="B20" s="6" t="s">
        <v>67</v>
      </c>
      <c r="C20" s="6" t="s">
        <v>85</v>
      </c>
      <c r="D20" s="16">
        <v>8287.5</v>
      </c>
      <c r="E20" s="7"/>
      <c r="F20" s="7"/>
      <c r="G20" s="7"/>
      <c r="H20" s="7">
        <f>180+594</f>
        <v>774</v>
      </c>
      <c r="I20" s="7"/>
      <c r="J20" s="22"/>
      <c r="K20" s="7"/>
      <c r="L20" s="16">
        <f t="shared" si="0"/>
        <v>774</v>
      </c>
      <c r="M20" s="7"/>
      <c r="N20" s="7"/>
      <c r="O20" s="7"/>
      <c r="P20" s="16">
        <f t="shared" si="1"/>
        <v>9061.5</v>
      </c>
      <c r="Q20" s="7">
        <v>1242.3800000000001</v>
      </c>
      <c r="R20" s="7">
        <v>608.44000000000005</v>
      </c>
      <c r="S20" s="7">
        <v>22</v>
      </c>
      <c r="T20" s="7"/>
      <c r="U20" s="16">
        <f t="shared" si="2"/>
        <v>1872.8200000000002</v>
      </c>
      <c r="V20" s="16">
        <f t="shared" si="3"/>
        <v>7188.68</v>
      </c>
    </row>
    <row r="21" spans="1:22" x14ac:dyDescent="0.25">
      <c r="A21" s="5" t="s">
        <v>117</v>
      </c>
      <c r="B21" s="6" t="s">
        <v>58</v>
      </c>
      <c r="C21" s="6" t="s">
        <v>81</v>
      </c>
      <c r="D21" s="16">
        <v>3381.95</v>
      </c>
      <c r="E21" s="7"/>
      <c r="F21" s="7"/>
      <c r="G21" s="7"/>
      <c r="H21" s="7">
        <v>594</v>
      </c>
      <c r="I21" s="7">
        <v>291.60000000000002</v>
      </c>
      <c r="J21" s="22"/>
      <c r="K21" s="7"/>
      <c r="L21" s="16">
        <f t="shared" si="0"/>
        <v>885.6</v>
      </c>
      <c r="M21" s="10"/>
      <c r="N21" s="7"/>
      <c r="O21" s="7"/>
      <c r="P21" s="16">
        <f t="shared" si="1"/>
        <v>4267.55</v>
      </c>
      <c r="Q21" s="7">
        <v>96.69</v>
      </c>
      <c r="R21" s="7">
        <v>372.01</v>
      </c>
      <c r="S21" s="7"/>
      <c r="T21" s="7"/>
      <c r="U21" s="16">
        <f t="shared" si="2"/>
        <v>468.7</v>
      </c>
      <c r="V21" s="16">
        <f t="shared" si="3"/>
        <v>3798.8500000000004</v>
      </c>
    </row>
    <row r="22" spans="1:22" x14ac:dyDescent="0.25">
      <c r="A22" s="5" t="s">
        <v>29</v>
      </c>
      <c r="B22" s="6" t="s">
        <v>68</v>
      </c>
      <c r="C22" s="6" t="s">
        <v>89</v>
      </c>
      <c r="D22" s="16">
        <v>12709.66</v>
      </c>
      <c r="E22" s="7"/>
      <c r="F22" s="7"/>
      <c r="G22" s="7"/>
      <c r="H22" s="7">
        <f>138+594</f>
        <v>732</v>
      </c>
      <c r="I22" s="7"/>
      <c r="J22" s="22">
        <v>483.98</v>
      </c>
      <c r="K22" s="7"/>
      <c r="L22" s="16">
        <f t="shared" si="0"/>
        <v>1215.98</v>
      </c>
      <c r="M22" s="7"/>
      <c r="N22" s="7"/>
      <c r="O22" s="7">
        <v>1446.08</v>
      </c>
      <c r="P22" s="16">
        <f t="shared" si="1"/>
        <v>15371.72</v>
      </c>
      <c r="Q22" s="7">
        <v>2856.15</v>
      </c>
      <c r="R22" s="7">
        <v>608.44000000000005</v>
      </c>
      <c r="S22" s="7"/>
      <c r="T22" s="7"/>
      <c r="U22" s="16">
        <f t="shared" si="2"/>
        <v>3464.59</v>
      </c>
      <c r="V22" s="16">
        <f t="shared" si="3"/>
        <v>11907.13</v>
      </c>
    </row>
    <row r="23" spans="1:22" x14ac:dyDescent="0.25">
      <c r="A23" s="5" t="s">
        <v>108</v>
      </c>
      <c r="B23" s="6" t="s">
        <v>62</v>
      </c>
      <c r="C23" s="6" t="s">
        <v>87</v>
      </c>
      <c r="D23" s="16">
        <v>1348.19</v>
      </c>
      <c r="E23" s="7"/>
      <c r="F23" s="7"/>
      <c r="G23" s="7"/>
      <c r="H23" s="7">
        <f>150+594</f>
        <v>744</v>
      </c>
      <c r="I23" s="7">
        <v>288</v>
      </c>
      <c r="J23" s="22"/>
      <c r="K23" s="7"/>
      <c r="L23" s="16">
        <f t="shared" si="0"/>
        <v>1032</v>
      </c>
      <c r="M23" s="7"/>
      <c r="N23" s="7"/>
      <c r="O23" s="7"/>
      <c r="P23" s="16">
        <f t="shared" si="1"/>
        <v>2380.19</v>
      </c>
      <c r="Q23" s="7"/>
      <c r="R23" s="7"/>
      <c r="S23" s="7"/>
      <c r="T23" s="7"/>
      <c r="U23" s="16">
        <f t="shared" si="2"/>
        <v>0</v>
      </c>
      <c r="V23" s="16">
        <f t="shared" si="3"/>
        <v>2380.19</v>
      </c>
    </row>
    <row r="24" spans="1:22" x14ac:dyDescent="0.25">
      <c r="A24" s="5" t="s">
        <v>30</v>
      </c>
      <c r="B24" s="6" t="s">
        <v>62</v>
      </c>
      <c r="C24" s="6" t="s">
        <v>89</v>
      </c>
      <c r="D24" s="16">
        <v>539.28</v>
      </c>
      <c r="E24" s="7"/>
      <c r="F24" s="7"/>
      <c r="G24" s="7"/>
      <c r="H24" s="7">
        <f>159+264</f>
        <v>423</v>
      </c>
      <c r="I24" s="7">
        <v>68.8</v>
      </c>
      <c r="J24" s="22"/>
      <c r="K24" s="7"/>
      <c r="L24" s="16">
        <f t="shared" si="0"/>
        <v>491.8</v>
      </c>
      <c r="M24" s="7"/>
      <c r="N24" s="7"/>
      <c r="O24" s="7"/>
      <c r="P24" s="16">
        <f t="shared" si="1"/>
        <v>1031.08</v>
      </c>
      <c r="Q24" s="7"/>
      <c r="R24" s="7"/>
      <c r="S24" s="7"/>
      <c r="T24" s="7"/>
      <c r="U24" s="16">
        <f t="shared" si="2"/>
        <v>0</v>
      </c>
      <c r="V24" s="16">
        <f t="shared" si="3"/>
        <v>1031.08</v>
      </c>
    </row>
    <row r="25" spans="1:22" x14ac:dyDescent="0.25">
      <c r="A25" s="5" t="s">
        <v>31</v>
      </c>
      <c r="B25" s="14" t="s">
        <v>69</v>
      </c>
      <c r="C25" s="6" t="s">
        <v>85</v>
      </c>
      <c r="D25" s="16">
        <v>12709.66</v>
      </c>
      <c r="E25" s="7"/>
      <c r="F25" s="7"/>
      <c r="G25" s="7"/>
      <c r="H25" s="7">
        <f>159+594</f>
        <v>753</v>
      </c>
      <c r="I25" s="7">
        <v>288</v>
      </c>
      <c r="J25" s="22"/>
      <c r="K25" s="7"/>
      <c r="L25" s="16">
        <f t="shared" si="0"/>
        <v>1041</v>
      </c>
      <c r="M25" s="7"/>
      <c r="N25" s="7">
        <v>423.66</v>
      </c>
      <c r="O25" s="7"/>
      <c r="P25" s="16">
        <f t="shared" si="1"/>
        <v>14174.32</v>
      </c>
      <c r="Q25" s="7">
        <v>2458.48</v>
      </c>
      <c r="R25" s="7">
        <v>608.44000000000005</v>
      </c>
      <c r="S25" s="7">
        <v>11</v>
      </c>
      <c r="T25" s="7">
        <v>288</v>
      </c>
      <c r="U25" s="16">
        <f t="shared" si="2"/>
        <v>3365.92</v>
      </c>
      <c r="V25" s="16">
        <f t="shared" si="3"/>
        <v>10808.4</v>
      </c>
    </row>
    <row r="26" spans="1:22" x14ac:dyDescent="0.25">
      <c r="A26" s="5" t="s">
        <v>32</v>
      </c>
      <c r="B26" s="6" t="s">
        <v>70</v>
      </c>
      <c r="C26" s="6" t="s">
        <v>90</v>
      </c>
      <c r="D26" s="16">
        <v>3623.52</v>
      </c>
      <c r="E26" s="7"/>
      <c r="F26" s="7"/>
      <c r="G26" s="7">
        <f>54.35+9.06</f>
        <v>63.410000000000004</v>
      </c>
      <c r="H26" s="7">
        <f>147+594</f>
        <v>741</v>
      </c>
      <c r="I26" s="7"/>
      <c r="J26" s="22"/>
      <c r="K26" s="7"/>
      <c r="L26" s="16">
        <f t="shared" si="0"/>
        <v>741</v>
      </c>
      <c r="M26" s="7"/>
      <c r="N26" s="7"/>
      <c r="O26" s="7"/>
      <c r="P26" s="16">
        <f t="shared" si="1"/>
        <v>4427.93</v>
      </c>
      <c r="Q26" s="7">
        <v>98.58</v>
      </c>
      <c r="R26" s="7">
        <v>373.58</v>
      </c>
      <c r="S26" s="7">
        <f>36.24+290.79</f>
        <v>327.03000000000003</v>
      </c>
      <c r="T26" s="7"/>
      <c r="U26" s="16">
        <f t="shared" si="2"/>
        <v>799.19</v>
      </c>
      <c r="V26" s="16">
        <f t="shared" si="3"/>
        <v>3628.7400000000002</v>
      </c>
    </row>
    <row r="27" spans="1:22" x14ac:dyDescent="0.25">
      <c r="A27" s="5" t="s">
        <v>33</v>
      </c>
      <c r="B27" s="6" t="s">
        <v>58</v>
      </c>
      <c r="C27" s="6" t="s">
        <v>81</v>
      </c>
      <c r="D27" s="16">
        <v>3623.52</v>
      </c>
      <c r="E27" s="7"/>
      <c r="F27" s="7"/>
      <c r="G27" s="7"/>
      <c r="H27" s="7">
        <f>153+594</f>
        <v>747</v>
      </c>
      <c r="I27" s="7"/>
      <c r="J27" s="22"/>
      <c r="K27" s="7"/>
      <c r="L27" s="16">
        <f t="shared" si="0"/>
        <v>747</v>
      </c>
      <c r="M27" s="7"/>
      <c r="N27" s="7"/>
      <c r="O27" s="7"/>
      <c r="P27" s="16">
        <f t="shared" si="1"/>
        <v>4370.5200000000004</v>
      </c>
      <c r="Q27" s="7">
        <v>128.94</v>
      </c>
      <c r="R27" s="7">
        <v>398.59</v>
      </c>
      <c r="S27" s="7"/>
      <c r="T27" s="7"/>
      <c r="U27" s="16">
        <f t="shared" si="2"/>
        <v>527.53</v>
      </c>
      <c r="V27" s="16">
        <f t="shared" si="3"/>
        <v>3842.9900000000007</v>
      </c>
    </row>
    <row r="28" spans="1:22" x14ac:dyDescent="0.25">
      <c r="A28" s="5" t="s">
        <v>34</v>
      </c>
      <c r="B28" s="6" t="s">
        <v>67</v>
      </c>
      <c r="C28" s="6" t="s">
        <v>85</v>
      </c>
      <c r="D28" s="16">
        <v>8287.5</v>
      </c>
      <c r="E28" s="7"/>
      <c r="F28" s="7"/>
      <c r="G28" s="7"/>
      <c r="H28" s="7">
        <f>144+594</f>
        <v>738</v>
      </c>
      <c r="I28" s="7"/>
      <c r="J28" s="22">
        <v>424.17</v>
      </c>
      <c r="K28" s="7"/>
      <c r="L28" s="16">
        <f t="shared" si="0"/>
        <v>1162.17</v>
      </c>
      <c r="M28" s="7"/>
      <c r="N28" s="7"/>
      <c r="O28" s="7"/>
      <c r="P28" s="16">
        <f t="shared" si="1"/>
        <v>9449.67</v>
      </c>
      <c r="Q28" s="7">
        <v>1242.3800000000001</v>
      </c>
      <c r="R28" s="7">
        <v>608.44000000000005</v>
      </c>
      <c r="S28" s="7"/>
      <c r="T28" s="7"/>
      <c r="U28" s="16">
        <f t="shared" si="2"/>
        <v>1850.8200000000002</v>
      </c>
      <c r="V28" s="16">
        <f t="shared" si="3"/>
        <v>7598.85</v>
      </c>
    </row>
    <row r="29" spans="1:22" x14ac:dyDescent="0.25">
      <c r="A29" s="5" t="s">
        <v>110</v>
      </c>
      <c r="B29" s="6" t="s">
        <v>62</v>
      </c>
      <c r="C29" s="6" t="s">
        <v>93</v>
      </c>
      <c r="D29" s="16">
        <v>1348.19</v>
      </c>
      <c r="E29" s="7"/>
      <c r="F29" s="7"/>
      <c r="G29" s="7"/>
      <c r="H29" s="7">
        <f>147+594</f>
        <v>741</v>
      </c>
      <c r="I29" s="7">
        <v>288</v>
      </c>
      <c r="J29" s="22"/>
      <c r="K29" s="7"/>
      <c r="L29" s="16">
        <f t="shared" si="0"/>
        <v>1029</v>
      </c>
      <c r="M29" s="7"/>
      <c r="N29" s="7"/>
      <c r="O29" s="7"/>
      <c r="P29" s="16">
        <f t="shared" si="1"/>
        <v>2377.19</v>
      </c>
      <c r="Q29" s="7"/>
      <c r="R29" s="7"/>
      <c r="S29" s="7"/>
      <c r="T29" s="7"/>
      <c r="U29" s="16">
        <f t="shared" si="2"/>
        <v>0</v>
      </c>
      <c r="V29" s="16">
        <f t="shared" si="3"/>
        <v>2377.19</v>
      </c>
    </row>
    <row r="30" spans="1:22" x14ac:dyDescent="0.25">
      <c r="A30" s="5" t="s">
        <v>107</v>
      </c>
      <c r="B30" s="15" t="s">
        <v>71</v>
      </c>
      <c r="C30" s="6" t="s">
        <v>87</v>
      </c>
      <c r="D30" s="16">
        <v>6995.3</v>
      </c>
      <c r="E30" s="7"/>
      <c r="F30" s="7"/>
      <c r="G30" s="7"/>
      <c r="H30" s="7">
        <f>180+594</f>
        <v>774</v>
      </c>
      <c r="I30" s="7">
        <v>154.80000000000001</v>
      </c>
      <c r="J30" s="22">
        <v>421.59</v>
      </c>
      <c r="K30" s="7"/>
      <c r="L30" s="16">
        <f t="shared" si="0"/>
        <v>1350.3899999999999</v>
      </c>
      <c r="M30" s="7"/>
      <c r="N30" s="7"/>
      <c r="O30" s="7"/>
      <c r="P30" s="16">
        <f t="shared" si="1"/>
        <v>8345.69</v>
      </c>
      <c r="Q30" s="7">
        <v>883.02</v>
      </c>
      <c r="R30" s="7">
        <v>608.44000000000005</v>
      </c>
      <c r="S30" s="7">
        <v>14.57</v>
      </c>
      <c r="T30" s="7">
        <v>154.80000000000001</v>
      </c>
      <c r="U30" s="16">
        <f t="shared" si="2"/>
        <v>1660.83</v>
      </c>
      <c r="V30" s="16">
        <f t="shared" si="3"/>
        <v>6684.8600000000006</v>
      </c>
    </row>
    <row r="31" spans="1:22" x14ac:dyDescent="0.25">
      <c r="A31" s="11" t="s">
        <v>35</v>
      </c>
      <c r="B31" s="13" t="s">
        <v>59</v>
      </c>
      <c r="C31" s="6" t="s">
        <v>89</v>
      </c>
      <c r="D31" s="16">
        <v>1087.06</v>
      </c>
      <c r="E31" s="7">
        <v>2536.46</v>
      </c>
      <c r="F31" s="7"/>
      <c r="G31" s="7">
        <f>14.04+2.34</f>
        <v>16.38</v>
      </c>
      <c r="H31" s="7">
        <f>180+165</f>
        <v>345</v>
      </c>
      <c r="I31" s="7">
        <v>80</v>
      </c>
      <c r="J31" s="22"/>
      <c r="K31" s="7"/>
      <c r="L31" s="16">
        <f t="shared" si="0"/>
        <v>425</v>
      </c>
      <c r="M31" s="7">
        <f>55.33+16.31+36.24+17.6+2.72+845.49</f>
        <v>973.69</v>
      </c>
      <c r="N31" s="7"/>
      <c r="O31" s="7"/>
      <c r="P31" s="16">
        <f t="shared" si="1"/>
        <v>5038.59</v>
      </c>
      <c r="Q31" s="7">
        <v>341.14</v>
      </c>
      <c r="R31" s="7">
        <f>120.19+372.01</f>
        <v>492.2</v>
      </c>
      <c r="S31" s="7">
        <v>10.87</v>
      </c>
      <c r="T31" s="7">
        <v>36.24</v>
      </c>
      <c r="U31" s="16">
        <f t="shared" si="2"/>
        <v>880.44999999999993</v>
      </c>
      <c r="V31" s="16">
        <f t="shared" si="3"/>
        <v>4158.1400000000003</v>
      </c>
    </row>
    <row r="32" spans="1:22" x14ac:dyDescent="0.25">
      <c r="A32" s="5" t="s">
        <v>36</v>
      </c>
      <c r="B32" s="6" t="s">
        <v>67</v>
      </c>
      <c r="C32" s="6" t="s">
        <v>85</v>
      </c>
      <c r="D32" s="16">
        <v>8287.5</v>
      </c>
      <c r="E32" s="7"/>
      <c r="F32" s="7"/>
      <c r="G32" s="7"/>
      <c r="H32" s="7">
        <f>135+594</f>
        <v>729</v>
      </c>
      <c r="I32" s="7"/>
      <c r="J32" s="22">
        <v>1273.6400000000001</v>
      </c>
      <c r="K32" s="7"/>
      <c r="L32" s="16">
        <f t="shared" si="0"/>
        <v>2002.64</v>
      </c>
      <c r="M32" s="7"/>
      <c r="N32" s="7"/>
      <c r="O32" s="7"/>
      <c r="P32" s="16">
        <f t="shared" si="1"/>
        <v>10290.14</v>
      </c>
      <c r="Q32" s="7">
        <v>1242.3800000000001</v>
      </c>
      <c r="R32" s="7">
        <v>608.44000000000005</v>
      </c>
      <c r="S32" s="7">
        <v>11</v>
      </c>
      <c r="T32" s="7"/>
      <c r="U32" s="16">
        <f t="shared" si="2"/>
        <v>1861.8200000000002</v>
      </c>
      <c r="V32" s="16">
        <f t="shared" si="3"/>
        <v>8428.32</v>
      </c>
    </row>
    <row r="33" spans="1:22" x14ac:dyDescent="0.25">
      <c r="A33" s="5" t="s">
        <v>37</v>
      </c>
      <c r="B33" s="6" t="s">
        <v>66</v>
      </c>
      <c r="C33" s="6" t="s">
        <v>86</v>
      </c>
      <c r="D33" s="16">
        <v>3867.5</v>
      </c>
      <c r="E33" s="7">
        <v>4420</v>
      </c>
      <c r="F33" s="7"/>
      <c r="G33" s="7"/>
      <c r="H33" s="7">
        <f>180+264</f>
        <v>444</v>
      </c>
      <c r="I33" s="7">
        <v>68.8</v>
      </c>
      <c r="J33" s="22">
        <v>372.31</v>
      </c>
      <c r="K33" s="7"/>
      <c r="L33" s="16">
        <f t="shared" si="0"/>
        <v>885.1099999999999</v>
      </c>
      <c r="M33" s="7">
        <f>44.98+6.22+7.5+1.04+1493.25</f>
        <v>1552.99</v>
      </c>
      <c r="N33" s="7">
        <v>41.44</v>
      </c>
      <c r="O33" s="7"/>
      <c r="P33" s="16">
        <f t="shared" si="1"/>
        <v>10767.04</v>
      </c>
      <c r="Q33" s="7">
        <f>243.38+605.89</f>
        <v>849.27</v>
      </c>
      <c r="R33" s="7">
        <v>608.44000000000005</v>
      </c>
      <c r="S33" s="7"/>
      <c r="T33" s="7">
        <v>68.8</v>
      </c>
      <c r="U33" s="16">
        <f t="shared" si="2"/>
        <v>1526.51</v>
      </c>
      <c r="V33" s="16">
        <f t="shared" si="3"/>
        <v>9240.5300000000007</v>
      </c>
    </row>
    <row r="34" spans="1:22" x14ac:dyDescent="0.25">
      <c r="A34" s="6" t="s">
        <v>38</v>
      </c>
      <c r="B34" s="6" t="s">
        <v>59</v>
      </c>
      <c r="C34" s="6" t="s">
        <v>89</v>
      </c>
      <c r="D34" s="16">
        <v>3623.52</v>
      </c>
      <c r="E34" s="7"/>
      <c r="F34" s="7"/>
      <c r="G34" s="7">
        <f>28.99+4.83</f>
        <v>33.82</v>
      </c>
      <c r="H34" s="7">
        <f>141+594</f>
        <v>735</v>
      </c>
      <c r="I34" s="7">
        <v>433.8</v>
      </c>
      <c r="J34" s="22"/>
      <c r="K34" s="7"/>
      <c r="L34" s="16">
        <f t="shared" si="0"/>
        <v>1168.8</v>
      </c>
      <c r="M34" s="7"/>
      <c r="N34" s="7"/>
      <c r="O34" s="7"/>
      <c r="P34" s="16">
        <f t="shared" si="1"/>
        <v>4826.1400000000003</v>
      </c>
      <c r="Q34" s="7">
        <v>133.44999999999999</v>
      </c>
      <c r="R34" s="7">
        <v>402.31</v>
      </c>
      <c r="S34" s="7">
        <v>11</v>
      </c>
      <c r="T34" s="7">
        <v>130.44999999999999</v>
      </c>
      <c r="U34" s="16">
        <f t="shared" si="2"/>
        <v>677.21</v>
      </c>
      <c r="V34" s="16">
        <f t="shared" si="3"/>
        <v>4148.93</v>
      </c>
    </row>
    <row r="35" spans="1:22" x14ac:dyDescent="0.25">
      <c r="A35" s="6" t="s">
        <v>39</v>
      </c>
      <c r="B35" s="6" t="s">
        <v>72</v>
      </c>
      <c r="C35" s="6" t="s">
        <v>86</v>
      </c>
      <c r="D35" s="16">
        <v>12709.66</v>
      </c>
      <c r="E35" s="7"/>
      <c r="F35" s="7"/>
      <c r="G35" s="7"/>
      <c r="H35" s="7">
        <f>108+561</f>
        <v>669</v>
      </c>
      <c r="I35" s="7">
        <v>1036.98</v>
      </c>
      <c r="J35" s="22"/>
      <c r="K35" s="7"/>
      <c r="L35" s="16">
        <f t="shared" si="0"/>
        <v>1705.98</v>
      </c>
      <c r="M35" s="7"/>
      <c r="N35" s="7"/>
      <c r="O35" s="7"/>
      <c r="P35" s="16">
        <f t="shared" si="1"/>
        <v>14415.64</v>
      </c>
      <c r="Q35" s="7">
        <v>2458.48</v>
      </c>
      <c r="R35" s="16">
        <v>608.44000000000005</v>
      </c>
      <c r="S35" s="7"/>
      <c r="T35" s="7">
        <v>457.55</v>
      </c>
      <c r="U35" s="16">
        <f t="shared" si="2"/>
        <v>3524.4700000000003</v>
      </c>
      <c r="V35" s="16">
        <f t="shared" si="3"/>
        <v>10891.169999999998</v>
      </c>
    </row>
    <row r="36" spans="1:22" x14ac:dyDescent="0.25">
      <c r="A36" s="6" t="s">
        <v>40</v>
      </c>
      <c r="B36" s="6" t="s">
        <v>73</v>
      </c>
      <c r="C36" s="6" t="s">
        <v>83</v>
      </c>
      <c r="D36" s="16">
        <v>3623.52</v>
      </c>
      <c r="E36" s="7"/>
      <c r="F36" s="7"/>
      <c r="G36" s="7"/>
      <c r="H36" s="7">
        <f>147+594</f>
        <v>741</v>
      </c>
      <c r="I36" s="7">
        <v>112</v>
      </c>
      <c r="J36" s="22"/>
      <c r="K36" s="7"/>
      <c r="L36" s="16">
        <f t="shared" si="0"/>
        <v>853</v>
      </c>
      <c r="M36" s="7"/>
      <c r="N36" s="7"/>
      <c r="O36" s="7"/>
      <c r="P36" s="16">
        <f t="shared" si="1"/>
        <v>4476.5200000000004</v>
      </c>
      <c r="Q36" s="7">
        <v>127.93</v>
      </c>
      <c r="R36" s="7">
        <v>397.76</v>
      </c>
      <c r="S36" s="7">
        <f>7.55+11</f>
        <v>18.55</v>
      </c>
      <c r="T36" s="7">
        <v>50.73</v>
      </c>
      <c r="U36" s="16">
        <f t="shared" si="2"/>
        <v>594.97</v>
      </c>
      <c r="V36" s="16">
        <f t="shared" si="3"/>
        <v>3881.55</v>
      </c>
    </row>
    <row r="37" spans="1:22" x14ac:dyDescent="0.25">
      <c r="A37" s="6" t="s">
        <v>41</v>
      </c>
      <c r="B37" s="6" t="s">
        <v>74</v>
      </c>
      <c r="C37" s="6" t="s">
        <v>84</v>
      </c>
      <c r="D37" s="16">
        <v>12709.66</v>
      </c>
      <c r="E37" s="7"/>
      <c r="F37" s="7"/>
      <c r="G37" s="7"/>
      <c r="H37" s="7">
        <f>180+594</f>
        <v>774</v>
      </c>
      <c r="I37" s="7">
        <v>136.80000000000001</v>
      </c>
      <c r="J37" s="22"/>
      <c r="K37" s="7"/>
      <c r="L37" s="16">
        <f t="shared" ref="L37:L57" si="4">H37+I37+K37+J37</f>
        <v>910.8</v>
      </c>
      <c r="M37" s="7"/>
      <c r="N37" s="7"/>
      <c r="O37" s="7"/>
      <c r="P37" s="16">
        <f t="shared" ref="P37:P57" si="5">D37+E37+F37+G37+L37+M37+N37+O37</f>
        <v>13620.46</v>
      </c>
      <c r="Q37" s="7">
        <v>2458.48</v>
      </c>
      <c r="R37" s="7">
        <v>608.44000000000005</v>
      </c>
      <c r="S37" s="7"/>
      <c r="T37" s="7">
        <v>154.80000000000001</v>
      </c>
      <c r="U37" s="16">
        <f t="shared" ref="U37:U57" si="6">Q37+R37+S37+T37</f>
        <v>3221.7200000000003</v>
      </c>
      <c r="V37" s="16">
        <f t="shared" ref="V37:V57" si="7">P37-U37</f>
        <v>10398.739999999998</v>
      </c>
    </row>
    <row r="38" spans="1:22" x14ac:dyDescent="0.25">
      <c r="A38" s="5" t="s">
        <v>106</v>
      </c>
      <c r="B38" s="6" t="s">
        <v>62</v>
      </c>
      <c r="C38" s="6" t="s">
        <v>91</v>
      </c>
      <c r="D38" s="16">
        <v>1348.19</v>
      </c>
      <c r="E38" s="7"/>
      <c r="F38" s="7"/>
      <c r="G38" s="7"/>
      <c r="H38" s="7">
        <f>180+594</f>
        <v>774</v>
      </c>
      <c r="I38" s="7">
        <v>136.80000000000001</v>
      </c>
      <c r="J38" s="22"/>
      <c r="K38" s="7"/>
      <c r="L38" s="16">
        <f t="shared" si="4"/>
        <v>910.8</v>
      </c>
      <c r="M38" s="7"/>
      <c r="N38" s="7"/>
      <c r="O38" s="7"/>
      <c r="P38" s="16">
        <f t="shared" si="5"/>
        <v>2258.9899999999998</v>
      </c>
      <c r="Q38" s="7"/>
      <c r="R38" s="7"/>
      <c r="S38" s="7"/>
      <c r="T38" s="7"/>
      <c r="U38" s="16">
        <f t="shared" si="6"/>
        <v>0</v>
      </c>
      <c r="V38" s="16">
        <f t="shared" si="7"/>
        <v>2258.9899999999998</v>
      </c>
    </row>
    <row r="39" spans="1:22" x14ac:dyDescent="0.25">
      <c r="A39" s="6" t="s">
        <v>42</v>
      </c>
      <c r="B39" s="6" t="s">
        <v>75</v>
      </c>
      <c r="C39" s="6" t="s">
        <v>91</v>
      </c>
      <c r="D39" s="16">
        <v>9677.56</v>
      </c>
      <c r="E39" s="7"/>
      <c r="F39" s="7"/>
      <c r="G39" s="7"/>
      <c r="H39" s="7">
        <f>141+594</f>
        <v>735</v>
      </c>
      <c r="I39" s="7"/>
      <c r="J39" s="22">
        <v>2356.2800000000002</v>
      </c>
      <c r="K39" s="7"/>
      <c r="L39" s="16">
        <f t="shared" si="4"/>
        <v>3091.28</v>
      </c>
      <c r="M39" s="7"/>
      <c r="N39" s="7">
        <v>322.58999999999997</v>
      </c>
      <c r="O39" s="7"/>
      <c r="P39" s="16">
        <f t="shared" si="5"/>
        <v>13091.43</v>
      </c>
      <c r="Q39" s="7">
        <v>1624.65</v>
      </c>
      <c r="R39" s="7">
        <v>608.44000000000005</v>
      </c>
      <c r="S39" s="7"/>
      <c r="T39" s="7"/>
      <c r="U39" s="16">
        <f t="shared" si="6"/>
        <v>2233.09</v>
      </c>
      <c r="V39" s="16">
        <f t="shared" si="7"/>
        <v>10858.34</v>
      </c>
    </row>
    <row r="40" spans="1:22" x14ac:dyDescent="0.25">
      <c r="A40" s="6" t="s">
        <v>43</v>
      </c>
      <c r="B40" s="6" t="s">
        <v>76</v>
      </c>
      <c r="C40" s="6" t="s">
        <v>91</v>
      </c>
      <c r="D40" s="16">
        <v>6995.3</v>
      </c>
      <c r="E40" s="7"/>
      <c r="F40" s="7"/>
      <c r="G40" s="7">
        <f>65.58+10.93</f>
        <v>76.509999999999991</v>
      </c>
      <c r="H40" s="7">
        <f>186+594</f>
        <v>780</v>
      </c>
      <c r="I40" s="7">
        <v>154.80000000000001</v>
      </c>
      <c r="J40" s="22"/>
      <c r="K40" s="7"/>
      <c r="L40" s="16">
        <f t="shared" si="4"/>
        <v>934.8</v>
      </c>
      <c r="M40" s="7"/>
      <c r="N40" s="7"/>
      <c r="O40" s="7"/>
      <c r="P40" s="16">
        <f t="shared" si="5"/>
        <v>8006.6100000000006</v>
      </c>
      <c r="Q40" s="7">
        <v>906.94</v>
      </c>
      <c r="R40" s="7">
        <v>608.44000000000005</v>
      </c>
      <c r="S40" s="7">
        <v>4.08</v>
      </c>
      <c r="T40" s="7">
        <v>154.80000000000001</v>
      </c>
      <c r="U40" s="16">
        <f t="shared" si="6"/>
        <v>1674.26</v>
      </c>
      <c r="V40" s="16">
        <f t="shared" si="7"/>
        <v>6332.35</v>
      </c>
    </row>
    <row r="41" spans="1:22" x14ac:dyDescent="0.25">
      <c r="A41" s="6" t="s">
        <v>44</v>
      </c>
      <c r="B41" s="6" t="s">
        <v>70</v>
      </c>
      <c r="C41" s="6" t="s">
        <v>90</v>
      </c>
      <c r="D41" s="16">
        <v>3623.52</v>
      </c>
      <c r="E41" s="7"/>
      <c r="F41" s="7"/>
      <c r="G41" s="7">
        <f>7.7+1.28</f>
        <v>8.98</v>
      </c>
      <c r="H41" s="7">
        <f>186+594</f>
        <v>780</v>
      </c>
      <c r="I41" s="7">
        <v>234</v>
      </c>
      <c r="J41" s="22">
        <v>424.17</v>
      </c>
      <c r="K41" s="7"/>
      <c r="L41" s="16">
        <f t="shared" si="4"/>
        <v>1438.17</v>
      </c>
      <c r="M41" s="7"/>
      <c r="N41" s="7"/>
      <c r="O41" s="7"/>
      <c r="P41" s="16">
        <f t="shared" si="5"/>
        <v>5070.67</v>
      </c>
      <c r="Q41" s="7">
        <v>130.13999999999999</v>
      </c>
      <c r="R41" s="7">
        <v>399.58</v>
      </c>
      <c r="S41" s="7">
        <v>11</v>
      </c>
      <c r="T41" s="7">
        <v>130.44999999999999</v>
      </c>
      <c r="U41" s="16">
        <f t="shared" si="6"/>
        <v>671.17000000000007</v>
      </c>
      <c r="V41" s="16">
        <f t="shared" si="7"/>
        <v>4399.5</v>
      </c>
    </row>
    <row r="42" spans="1:22" x14ac:dyDescent="0.25">
      <c r="A42" s="5" t="s">
        <v>45</v>
      </c>
      <c r="B42" s="6" t="s">
        <v>58</v>
      </c>
      <c r="C42" s="6" t="s">
        <v>81</v>
      </c>
      <c r="D42" s="16">
        <v>3623.52</v>
      </c>
      <c r="E42" s="7"/>
      <c r="F42" s="7"/>
      <c r="G42" s="7"/>
      <c r="H42" s="7">
        <f>123+858</f>
        <v>981</v>
      </c>
      <c r="I42" s="7">
        <v>212</v>
      </c>
      <c r="J42" s="22">
        <v>238.68</v>
      </c>
      <c r="K42" s="7"/>
      <c r="L42" s="16">
        <f t="shared" si="4"/>
        <v>1431.68</v>
      </c>
      <c r="M42" s="10"/>
      <c r="N42" s="7"/>
      <c r="O42" s="7"/>
      <c r="P42" s="16">
        <f t="shared" si="5"/>
        <v>5055.2</v>
      </c>
      <c r="Q42" s="7">
        <v>106.12</v>
      </c>
      <c r="R42" s="7">
        <v>379.79</v>
      </c>
      <c r="S42" s="7">
        <f>170.91+36.24</f>
        <v>207.15</v>
      </c>
      <c r="T42" s="7">
        <v>130.44999999999999</v>
      </c>
      <c r="U42" s="16">
        <f t="shared" si="6"/>
        <v>823.51</v>
      </c>
      <c r="V42" s="16">
        <f t="shared" si="7"/>
        <v>4231.6899999999996</v>
      </c>
    </row>
    <row r="43" spans="1:22" x14ac:dyDescent="0.25">
      <c r="A43" s="6" t="s">
        <v>46</v>
      </c>
      <c r="B43" s="6" t="s">
        <v>58</v>
      </c>
      <c r="C43" s="6" t="s">
        <v>81</v>
      </c>
      <c r="D43" s="16">
        <v>2294.9</v>
      </c>
      <c r="E43" s="7">
        <v>1328.62</v>
      </c>
      <c r="F43" s="7"/>
      <c r="G43" s="7">
        <f>79.72+13.29</f>
        <v>93.009999999999991</v>
      </c>
      <c r="H43" s="7">
        <f>186+297</f>
        <v>483</v>
      </c>
      <c r="I43" s="7">
        <v>77.400000000000006</v>
      </c>
      <c r="J43" s="22">
        <v>273.58999999999997</v>
      </c>
      <c r="K43" s="7"/>
      <c r="L43" s="16">
        <f t="shared" si="4"/>
        <v>833.99</v>
      </c>
      <c r="M43" s="7">
        <f>108.71+109.71+15.85+132.86+71.83+2.65+472.44</f>
        <v>914.05</v>
      </c>
      <c r="N43" s="7"/>
      <c r="O43" s="7"/>
      <c r="P43" s="16">
        <f t="shared" si="5"/>
        <v>5464.57</v>
      </c>
      <c r="Q43" s="7">
        <v>13.76</v>
      </c>
      <c r="R43" s="7">
        <f>300.46+170.08</f>
        <v>470.53999999999996</v>
      </c>
      <c r="S43" s="7">
        <f>11+22.95</f>
        <v>33.950000000000003</v>
      </c>
      <c r="T43" s="7">
        <v>65.22</v>
      </c>
      <c r="U43" s="16">
        <f t="shared" si="6"/>
        <v>583.47</v>
      </c>
      <c r="V43" s="16">
        <f t="shared" si="7"/>
        <v>4881.0999999999995</v>
      </c>
    </row>
    <row r="44" spans="1:22" x14ac:dyDescent="0.25">
      <c r="A44" s="5" t="s">
        <v>104</v>
      </c>
      <c r="B44" s="6" t="s">
        <v>59</v>
      </c>
      <c r="C44" s="6" t="s">
        <v>89</v>
      </c>
      <c r="D44" s="16">
        <v>3623.52</v>
      </c>
      <c r="E44" s="7"/>
      <c r="F44" s="7"/>
      <c r="G44" s="7"/>
      <c r="H44" s="7">
        <f>186+594</f>
        <v>780</v>
      </c>
      <c r="I44" s="7">
        <v>288</v>
      </c>
      <c r="J44" s="22"/>
      <c r="K44" s="7"/>
      <c r="L44" s="16">
        <f t="shared" si="4"/>
        <v>1068</v>
      </c>
      <c r="M44" s="7"/>
      <c r="N44" s="7"/>
      <c r="O44" s="7"/>
      <c r="P44" s="16">
        <f t="shared" si="5"/>
        <v>4691.5200000000004</v>
      </c>
      <c r="Q44" s="7">
        <v>113.98</v>
      </c>
      <c r="R44" s="7">
        <v>386.26</v>
      </c>
      <c r="S44" s="7">
        <f>112.03+11</f>
        <v>123.03</v>
      </c>
      <c r="T44" s="7">
        <v>130.44999999999999</v>
      </c>
      <c r="U44" s="16">
        <f t="shared" si="6"/>
        <v>753.72</v>
      </c>
      <c r="V44" s="16">
        <f t="shared" si="7"/>
        <v>3937.8</v>
      </c>
    </row>
    <row r="45" spans="1:22" x14ac:dyDescent="0.25">
      <c r="A45" s="6" t="s">
        <v>112</v>
      </c>
      <c r="B45" s="6" t="s">
        <v>66</v>
      </c>
      <c r="C45" s="6" t="s">
        <v>86</v>
      </c>
      <c r="D45" s="16">
        <v>8287.5</v>
      </c>
      <c r="E45" s="7"/>
      <c r="F45" s="7"/>
      <c r="G45" s="7">
        <f>158.5+26.42</f>
        <v>184.92000000000002</v>
      </c>
      <c r="H45" s="7">
        <f>180+594</f>
        <v>774</v>
      </c>
      <c r="I45" s="7"/>
      <c r="J45" s="22">
        <v>351.3</v>
      </c>
      <c r="K45" s="7">
        <v>260</v>
      </c>
      <c r="L45" s="16">
        <f t="shared" si="4"/>
        <v>1385.3</v>
      </c>
      <c r="M45" s="7"/>
      <c r="N45" s="7"/>
      <c r="O45" s="7"/>
      <c r="P45" s="16">
        <f t="shared" si="5"/>
        <v>9857.7199999999993</v>
      </c>
      <c r="Q45" s="7">
        <v>1241.0999999999999</v>
      </c>
      <c r="R45" s="16">
        <v>608.44000000000005</v>
      </c>
      <c r="S45" s="7"/>
      <c r="T45" s="7"/>
      <c r="U45" s="16">
        <f t="shared" si="6"/>
        <v>1849.54</v>
      </c>
      <c r="V45" s="16">
        <f t="shared" si="7"/>
        <v>8008.1799999999994</v>
      </c>
    </row>
    <row r="46" spans="1:22" x14ac:dyDescent="0.25">
      <c r="A46" s="5" t="s">
        <v>47</v>
      </c>
      <c r="B46" s="6" t="s">
        <v>66</v>
      </c>
      <c r="C46" s="6" t="s">
        <v>86</v>
      </c>
      <c r="D46" s="16">
        <v>8287.5</v>
      </c>
      <c r="E46" s="7"/>
      <c r="F46" s="7"/>
      <c r="G46" s="7">
        <f>60.08+10.01</f>
        <v>70.09</v>
      </c>
      <c r="H46" s="7">
        <f>180+594</f>
        <v>774</v>
      </c>
      <c r="I46" s="7"/>
      <c r="J46" s="22">
        <v>351.3</v>
      </c>
      <c r="K46" s="7"/>
      <c r="L46" s="16">
        <f t="shared" si="4"/>
        <v>1125.3</v>
      </c>
      <c r="M46" s="7"/>
      <c r="N46" s="7"/>
      <c r="O46" s="7"/>
      <c r="P46" s="16">
        <f t="shared" si="5"/>
        <v>9482.89</v>
      </c>
      <c r="Q46" s="7">
        <v>1261.6600000000001</v>
      </c>
      <c r="R46" s="7">
        <v>608.44000000000005</v>
      </c>
      <c r="S46" s="7"/>
      <c r="T46" s="7"/>
      <c r="U46" s="16">
        <f t="shared" si="6"/>
        <v>1870.1000000000001</v>
      </c>
      <c r="V46" s="16">
        <f t="shared" si="7"/>
        <v>7612.7899999999991</v>
      </c>
    </row>
    <row r="47" spans="1:22" x14ac:dyDescent="0.25">
      <c r="A47" s="5" t="s">
        <v>48</v>
      </c>
      <c r="B47" s="6" t="s">
        <v>66</v>
      </c>
      <c r="C47" s="6" t="s">
        <v>85</v>
      </c>
      <c r="D47" s="16">
        <v>4972.5</v>
      </c>
      <c r="E47" s="7">
        <v>3315</v>
      </c>
      <c r="F47" s="7"/>
      <c r="G47" s="7"/>
      <c r="H47" s="7">
        <f>180+297</f>
        <v>477</v>
      </c>
      <c r="I47" s="7"/>
      <c r="J47" s="22">
        <v>601.87</v>
      </c>
      <c r="K47" s="7"/>
      <c r="L47" s="16">
        <f t="shared" si="4"/>
        <v>1078.8699999999999</v>
      </c>
      <c r="M47" s="7">
        <f>61.2+3.11+10.2+0.52+1130.01</f>
        <v>1205.04</v>
      </c>
      <c r="N47" s="7"/>
      <c r="O47" s="7"/>
      <c r="P47" s="16">
        <f t="shared" si="5"/>
        <v>10571.41</v>
      </c>
      <c r="Q47" s="7">
        <f>467.49+269.01</f>
        <v>736.5</v>
      </c>
      <c r="R47" s="7">
        <f>111.24+497.2</f>
        <v>608.43999999999994</v>
      </c>
      <c r="S47" s="7">
        <v>11</v>
      </c>
      <c r="T47" s="7"/>
      <c r="U47" s="16">
        <f t="shared" si="6"/>
        <v>1355.94</v>
      </c>
      <c r="V47" s="16">
        <f t="shared" si="7"/>
        <v>9215.4699999999993</v>
      </c>
    </row>
    <row r="48" spans="1:22" x14ac:dyDescent="0.25">
      <c r="A48" s="5" t="s">
        <v>49</v>
      </c>
      <c r="B48" s="6" t="s">
        <v>58</v>
      </c>
      <c r="C48" s="6" t="s">
        <v>81</v>
      </c>
      <c r="D48" s="16">
        <v>3623.52</v>
      </c>
      <c r="E48" s="7"/>
      <c r="F48" s="7"/>
      <c r="G48" s="7"/>
      <c r="H48" s="7">
        <f>159+594</f>
        <v>753</v>
      </c>
      <c r="I48" s="7">
        <v>288</v>
      </c>
      <c r="J48" s="22">
        <v>363.19</v>
      </c>
      <c r="K48" s="7"/>
      <c r="L48" s="16">
        <f t="shared" si="4"/>
        <v>1404.19</v>
      </c>
      <c r="M48" s="7"/>
      <c r="N48" s="7"/>
      <c r="O48" s="7"/>
      <c r="P48" s="16">
        <f t="shared" si="5"/>
        <v>5027.71</v>
      </c>
      <c r="Q48" s="7">
        <v>70.209999999999994</v>
      </c>
      <c r="R48" s="7">
        <v>397.06</v>
      </c>
      <c r="S48" s="7">
        <f>13.89+33+36.24</f>
        <v>83.13</v>
      </c>
      <c r="T48" s="7">
        <v>130.44999999999999</v>
      </c>
      <c r="U48" s="16">
        <f t="shared" si="6"/>
        <v>680.84999999999991</v>
      </c>
      <c r="V48" s="16">
        <f t="shared" si="7"/>
        <v>4346.8600000000006</v>
      </c>
    </row>
    <row r="49" spans="1:22" x14ac:dyDescent="0.25">
      <c r="A49" s="5" t="s">
        <v>50</v>
      </c>
      <c r="B49" s="6" t="s">
        <v>66</v>
      </c>
      <c r="C49" s="6" t="s">
        <v>85</v>
      </c>
      <c r="D49" s="16">
        <v>8287.5</v>
      </c>
      <c r="E49" s="7"/>
      <c r="F49" s="7"/>
      <c r="G49" s="7"/>
      <c r="H49" s="7">
        <f>180+594</f>
        <v>774</v>
      </c>
      <c r="I49" s="7">
        <v>154.80000000000001</v>
      </c>
      <c r="J49" s="22"/>
      <c r="K49" s="7"/>
      <c r="L49" s="16">
        <f t="shared" si="4"/>
        <v>928.8</v>
      </c>
      <c r="M49" s="7"/>
      <c r="N49" s="7"/>
      <c r="O49" s="7"/>
      <c r="P49" s="16">
        <f t="shared" si="5"/>
        <v>9216.2999999999993</v>
      </c>
      <c r="Q49" s="7">
        <v>1242.3800000000001</v>
      </c>
      <c r="R49" s="7">
        <v>608.44000000000005</v>
      </c>
      <c r="S49" s="7"/>
      <c r="T49" s="7">
        <v>154.80000000000001</v>
      </c>
      <c r="U49" s="16">
        <f t="shared" si="6"/>
        <v>2005.6200000000001</v>
      </c>
      <c r="V49" s="16">
        <f t="shared" si="7"/>
        <v>7210.6799999999994</v>
      </c>
    </row>
    <row r="50" spans="1:22" x14ac:dyDescent="0.25">
      <c r="A50" s="5" t="s">
        <v>51</v>
      </c>
      <c r="B50" s="6" t="s">
        <v>77</v>
      </c>
      <c r="C50" s="6" t="s">
        <v>83</v>
      </c>
      <c r="D50" s="16">
        <v>6995.3</v>
      </c>
      <c r="E50" s="7"/>
      <c r="F50" s="7"/>
      <c r="G50" s="7">
        <f>83.94+13.99</f>
        <v>97.929999999999993</v>
      </c>
      <c r="H50" s="7">
        <f>186+594</f>
        <v>780</v>
      </c>
      <c r="I50" s="7">
        <v>136.80000000000001</v>
      </c>
      <c r="J50" s="22">
        <v>351.3</v>
      </c>
      <c r="K50" s="7"/>
      <c r="L50" s="16">
        <f t="shared" si="4"/>
        <v>1268.0999999999999</v>
      </c>
      <c r="M50" s="7"/>
      <c r="N50" s="7"/>
      <c r="O50" s="7"/>
      <c r="P50" s="16">
        <f t="shared" si="5"/>
        <v>8361.33</v>
      </c>
      <c r="Q50" s="7">
        <v>910.75</v>
      </c>
      <c r="R50" s="7">
        <v>608.44000000000005</v>
      </c>
      <c r="S50" s="7">
        <f>11.66</f>
        <v>11.66</v>
      </c>
      <c r="T50" s="7">
        <v>136.80000000000001</v>
      </c>
      <c r="U50" s="16">
        <f t="shared" si="6"/>
        <v>1667.65</v>
      </c>
      <c r="V50" s="16">
        <f t="shared" si="7"/>
        <v>6693.68</v>
      </c>
    </row>
    <row r="51" spans="1:22" x14ac:dyDescent="0.25">
      <c r="A51" s="5" t="s">
        <v>52</v>
      </c>
      <c r="B51" s="6" t="s">
        <v>78</v>
      </c>
      <c r="C51" s="6" t="s">
        <v>82</v>
      </c>
      <c r="D51" s="16">
        <v>9677.56</v>
      </c>
      <c r="E51" s="7"/>
      <c r="F51" s="7"/>
      <c r="G51" s="7"/>
      <c r="H51" s="7">
        <f>147+594</f>
        <v>741</v>
      </c>
      <c r="I51" s="7">
        <v>154.80000000000001</v>
      </c>
      <c r="J51" s="22"/>
      <c r="K51" s="7"/>
      <c r="L51" s="16">
        <f t="shared" si="4"/>
        <v>895.8</v>
      </c>
      <c r="M51" s="7"/>
      <c r="N51" s="7">
        <v>322.58999999999997</v>
      </c>
      <c r="O51" s="7"/>
      <c r="P51" s="16">
        <f t="shared" si="5"/>
        <v>10895.949999999999</v>
      </c>
      <c r="Q51" s="7">
        <v>1624.65</v>
      </c>
      <c r="R51" s="7">
        <v>608.44000000000005</v>
      </c>
      <c r="S51" s="7"/>
      <c r="T51" s="7">
        <v>154.80000000000001</v>
      </c>
      <c r="U51" s="16">
        <f t="shared" si="6"/>
        <v>2387.8900000000003</v>
      </c>
      <c r="V51" s="16">
        <f t="shared" si="7"/>
        <v>8508.0599999999977</v>
      </c>
    </row>
    <row r="52" spans="1:22" x14ac:dyDescent="0.25">
      <c r="A52" s="6" t="s">
        <v>53</v>
      </c>
      <c r="B52" s="6" t="s">
        <v>73</v>
      </c>
      <c r="C52" s="6" t="s">
        <v>83</v>
      </c>
      <c r="D52" s="16">
        <v>3623.52</v>
      </c>
      <c r="E52" s="7"/>
      <c r="F52" s="7"/>
      <c r="G52" s="7">
        <f>24.01+4</f>
        <v>28.01</v>
      </c>
      <c r="H52" s="7">
        <f>135+594</f>
        <v>729</v>
      </c>
      <c r="I52" s="7">
        <v>432</v>
      </c>
      <c r="J52" s="22">
        <v>372.32</v>
      </c>
      <c r="K52" s="7"/>
      <c r="L52" s="16">
        <f t="shared" si="4"/>
        <v>1533.32</v>
      </c>
      <c r="M52" s="7"/>
      <c r="N52" s="7"/>
      <c r="O52" s="7"/>
      <c r="P52" s="16">
        <f t="shared" si="5"/>
        <v>5184.8500000000004</v>
      </c>
      <c r="Q52" s="7">
        <v>128.49</v>
      </c>
      <c r="R52" s="7">
        <v>398.21</v>
      </c>
      <c r="S52" s="7">
        <f>31.4+36.24</f>
        <v>67.64</v>
      </c>
      <c r="T52" s="7">
        <v>130.44999999999999</v>
      </c>
      <c r="U52" s="16">
        <f t="shared" si="6"/>
        <v>724.79</v>
      </c>
      <c r="V52" s="16">
        <f t="shared" si="7"/>
        <v>4460.0600000000004</v>
      </c>
    </row>
    <row r="53" spans="1:22" x14ac:dyDescent="0.25">
      <c r="A53" s="6" t="s">
        <v>54</v>
      </c>
      <c r="B53" s="6" t="s">
        <v>79</v>
      </c>
      <c r="C53" s="6" t="s">
        <v>87</v>
      </c>
      <c r="D53" s="16">
        <v>5363.06</v>
      </c>
      <c r="E53" s="7">
        <v>1632.24</v>
      </c>
      <c r="F53" s="7"/>
      <c r="G53" s="7">
        <f>43.72+7.29</f>
        <v>51.01</v>
      </c>
      <c r="H53" s="7">
        <f>180+429</f>
        <v>609</v>
      </c>
      <c r="I53" s="7">
        <v>111.8</v>
      </c>
      <c r="J53" s="22"/>
      <c r="K53" s="7"/>
      <c r="L53" s="16">
        <f t="shared" si="4"/>
        <v>720.8</v>
      </c>
      <c r="M53" s="7">
        <f>10.63+5.8+9.06+0.97+550.47</f>
        <v>576.93000000000006</v>
      </c>
      <c r="N53" s="7"/>
      <c r="O53" s="7"/>
      <c r="P53" s="16">
        <f t="shared" si="5"/>
        <v>8344.0400000000009</v>
      </c>
      <c r="Q53" s="7">
        <f>506.69+606.86</f>
        <v>1113.55</v>
      </c>
      <c r="R53" s="7">
        <f>410.27+198.17</f>
        <v>608.43999999999994</v>
      </c>
      <c r="S53" s="7"/>
      <c r="T53" s="7">
        <v>111.8</v>
      </c>
      <c r="U53" s="16">
        <f t="shared" si="6"/>
        <v>1833.7899999999997</v>
      </c>
      <c r="V53" s="16">
        <f t="shared" si="7"/>
        <v>6510.2500000000009</v>
      </c>
    </row>
    <row r="54" spans="1:22" x14ac:dyDescent="0.25">
      <c r="A54" s="5" t="s">
        <v>111</v>
      </c>
      <c r="B54" s="6" t="s">
        <v>62</v>
      </c>
      <c r="C54" s="6" t="s">
        <v>85</v>
      </c>
      <c r="D54" s="16">
        <v>1348.19</v>
      </c>
      <c r="E54" s="7"/>
      <c r="F54" s="7"/>
      <c r="G54" s="7"/>
      <c r="H54" s="7">
        <f>153+594</f>
        <v>747</v>
      </c>
      <c r="I54" s="7">
        <v>288</v>
      </c>
      <c r="J54" s="22"/>
      <c r="K54" s="7"/>
      <c r="L54" s="16">
        <f t="shared" si="4"/>
        <v>1035</v>
      </c>
      <c r="M54" s="7"/>
      <c r="N54" s="7"/>
      <c r="O54" s="7"/>
      <c r="P54" s="16">
        <f t="shared" si="5"/>
        <v>2383.19</v>
      </c>
      <c r="Q54" s="7"/>
      <c r="R54" s="7"/>
      <c r="S54" s="7"/>
      <c r="T54" s="7"/>
      <c r="U54" s="16">
        <f t="shared" si="6"/>
        <v>0</v>
      </c>
      <c r="V54" s="16">
        <f t="shared" si="7"/>
        <v>2383.19</v>
      </c>
    </row>
    <row r="55" spans="1:22" x14ac:dyDescent="0.25">
      <c r="A55" s="5" t="s">
        <v>55</v>
      </c>
      <c r="B55" s="6" t="s">
        <v>58</v>
      </c>
      <c r="C55" s="6" t="s">
        <v>85</v>
      </c>
      <c r="D55" s="16">
        <v>3623.52</v>
      </c>
      <c r="E55" s="7"/>
      <c r="F55" s="7"/>
      <c r="G55" s="7"/>
      <c r="H55" s="7">
        <f>144+594</f>
        <v>738</v>
      </c>
      <c r="I55" s="7"/>
      <c r="J55" s="22">
        <v>331.62</v>
      </c>
      <c r="K55" s="7"/>
      <c r="L55" s="16">
        <f t="shared" si="4"/>
        <v>1069.6199999999999</v>
      </c>
      <c r="M55" s="7"/>
      <c r="N55" s="7"/>
      <c r="O55" s="7"/>
      <c r="P55" s="16">
        <f t="shared" si="5"/>
        <v>4693.1399999999994</v>
      </c>
      <c r="Q55" s="7">
        <v>128.94</v>
      </c>
      <c r="R55" s="7">
        <v>398.59</v>
      </c>
      <c r="S55" s="7">
        <v>11</v>
      </c>
      <c r="T55" s="7"/>
      <c r="U55" s="16">
        <f t="shared" si="6"/>
        <v>538.53</v>
      </c>
      <c r="V55" s="16">
        <f t="shared" si="7"/>
        <v>4154.6099999999997</v>
      </c>
    </row>
    <row r="56" spans="1:22" x14ac:dyDescent="0.25">
      <c r="A56" s="6" t="s">
        <v>56</v>
      </c>
      <c r="B56" s="6" t="s">
        <v>80</v>
      </c>
      <c r="C56" s="6" t="s">
        <v>89</v>
      </c>
      <c r="D56" s="16">
        <v>6995.3</v>
      </c>
      <c r="E56" s="7"/>
      <c r="F56" s="7"/>
      <c r="G56" s="7"/>
      <c r="H56" s="7">
        <f>186+594</f>
        <v>780</v>
      </c>
      <c r="I56" s="7"/>
      <c r="J56" s="22"/>
      <c r="K56" s="7"/>
      <c r="L56" s="16">
        <f t="shared" si="4"/>
        <v>780</v>
      </c>
      <c r="M56" s="7"/>
      <c r="N56" s="7"/>
      <c r="O56" s="7"/>
      <c r="P56" s="16">
        <f t="shared" si="5"/>
        <v>7775.3</v>
      </c>
      <c r="Q56" s="7">
        <v>887.03</v>
      </c>
      <c r="R56" s="7">
        <v>608.44000000000005</v>
      </c>
      <c r="S56" s="7"/>
      <c r="T56" s="7"/>
      <c r="U56" s="16">
        <f t="shared" si="6"/>
        <v>1495.47</v>
      </c>
      <c r="V56" s="16">
        <f t="shared" si="7"/>
        <v>6279.83</v>
      </c>
    </row>
    <row r="57" spans="1:22" x14ac:dyDescent="0.25">
      <c r="A57" s="6" t="s">
        <v>57</v>
      </c>
      <c r="B57" s="6" t="s">
        <v>62</v>
      </c>
      <c r="C57" s="6" t="s">
        <v>91</v>
      </c>
      <c r="D57" s="7">
        <v>1348.19</v>
      </c>
      <c r="E57" s="7"/>
      <c r="F57" s="7"/>
      <c r="G57" s="7"/>
      <c r="H57" s="7">
        <f>150+594</f>
        <v>744</v>
      </c>
      <c r="I57" s="7">
        <v>288</v>
      </c>
      <c r="J57" s="22"/>
      <c r="K57" s="7"/>
      <c r="L57" s="16">
        <f t="shared" si="4"/>
        <v>1032</v>
      </c>
      <c r="M57" s="16"/>
      <c r="N57" s="7"/>
      <c r="O57" s="7"/>
      <c r="P57" s="7">
        <f t="shared" si="5"/>
        <v>2380.19</v>
      </c>
      <c r="Q57" s="7"/>
      <c r="R57" s="16"/>
      <c r="S57" s="16"/>
      <c r="T57" s="16"/>
      <c r="U57" s="7">
        <f t="shared" si="6"/>
        <v>0</v>
      </c>
      <c r="V57" s="7">
        <f t="shared" si="7"/>
        <v>2380.19</v>
      </c>
    </row>
    <row r="58" spans="1:22" x14ac:dyDescent="0.25">
      <c r="H58" s="1">
        <f>SUM(H5:H57)</f>
        <v>36714</v>
      </c>
      <c r="I58" s="1">
        <f>SUM(I5:I57)</f>
        <v>8794.7800000000007</v>
      </c>
      <c r="J58" s="1">
        <f>SUM(J5:J57)</f>
        <v>11432.03</v>
      </c>
      <c r="K58" s="1"/>
      <c r="L58" s="1"/>
      <c r="P58" s="3"/>
      <c r="V58" s="1">
        <f>SUM(V5:V57)</f>
        <v>307189.17</v>
      </c>
    </row>
    <row r="59" spans="1:22" x14ac:dyDescent="0.25">
      <c r="H59" s="1"/>
      <c r="I59" s="1"/>
      <c r="J59" s="1"/>
      <c r="K59" s="1"/>
      <c r="L59" s="1"/>
      <c r="P59" s="3"/>
      <c r="V59" s="1"/>
    </row>
    <row r="60" spans="1:22" x14ac:dyDescent="0.25">
      <c r="P60" s="3"/>
    </row>
    <row r="61" spans="1:22" ht="19.5" x14ac:dyDescent="0.3">
      <c r="A61" s="17" t="s">
        <v>95</v>
      </c>
      <c r="P61" s="3"/>
    </row>
    <row r="62" spans="1:22" ht="19.5" x14ac:dyDescent="0.25">
      <c r="A62" s="20" t="s">
        <v>0</v>
      </c>
      <c r="B62" s="21" t="s">
        <v>1</v>
      </c>
      <c r="C62" s="21" t="s">
        <v>2</v>
      </c>
      <c r="D62" s="21" t="s">
        <v>98</v>
      </c>
      <c r="E62" s="21" t="s">
        <v>97</v>
      </c>
      <c r="F62" s="21" t="s">
        <v>10</v>
      </c>
      <c r="G62" s="20" t="s">
        <v>11</v>
      </c>
      <c r="H62" s="18"/>
      <c r="I62" s="18"/>
      <c r="J62" s="18"/>
      <c r="K62" s="18"/>
      <c r="L62" s="21" t="s">
        <v>96</v>
      </c>
      <c r="M62" s="19"/>
      <c r="N62" s="19"/>
      <c r="O62" s="19"/>
      <c r="P62" s="19"/>
      <c r="Q62" s="19"/>
      <c r="R62" s="19"/>
      <c r="S62" s="19"/>
      <c r="T62" s="19"/>
    </row>
    <row r="63" spans="1:22" x14ac:dyDescent="0.25">
      <c r="A63" s="11" t="s">
        <v>35</v>
      </c>
      <c r="B63" s="13" t="s">
        <v>59</v>
      </c>
      <c r="C63" s="6" t="s">
        <v>89</v>
      </c>
      <c r="D63" s="16">
        <v>1937.62</v>
      </c>
      <c r="P63" s="3"/>
    </row>
    <row r="64" spans="1:22" x14ac:dyDescent="0.25">
      <c r="A64" s="6" t="s">
        <v>46</v>
      </c>
      <c r="B64" s="6" t="s">
        <v>58</v>
      </c>
      <c r="C64" s="6" t="s">
        <v>81</v>
      </c>
      <c r="D64" s="16">
        <v>2151.39</v>
      </c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  <row r="121" spans="16:16" x14ac:dyDescent="0.25">
      <c r="P121" s="3"/>
    </row>
  </sheetData>
  <autoFilter ref="A4:V64"/>
  <sortState ref="A5:V57">
    <sortCondition ref="A5:A57"/>
  </sortState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140625" style="2" customWidth="1"/>
    <col min="15" max="15" width="16.28515625" style="2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4" t="s">
        <v>118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92</v>
      </c>
      <c r="U4" s="20" t="s">
        <v>13</v>
      </c>
      <c r="V4" s="21" t="s">
        <v>14</v>
      </c>
    </row>
    <row r="5" spans="1:22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726</v>
      </c>
      <c r="I5" s="7">
        <v>528</v>
      </c>
      <c r="J5" s="16">
        <v>424.17</v>
      </c>
      <c r="K5" s="7"/>
      <c r="L5" s="16">
        <f>H5+I5+J5+K5</f>
        <v>1678.17</v>
      </c>
      <c r="M5" s="7"/>
      <c r="N5" s="7"/>
      <c r="O5" s="7"/>
      <c r="P5" s="16">
        <f>D5+E5+F5+G5+L5+M5+N5+O5</f>
        <v>5301.6900000000005</v>
      </c>
      <c r="Q5" s="7">
        <v>128.94</v>
      </c>
      <c r="R5" s="16">
        <v>398.59</v>
      </c>
      <c r="S5" s="7">
        <v>47.24</v>
      </c>
      <c r="T5" s="7">
        <v>159.43</v>
      </c>
      <c r="U5" s="16">
        <f>Q5+R5+S5+T5</f>
        <v>734.2</v>
      </c>
      <c r="V5" s="16">
        <f t="shared" ref="V5:V36" si="0">P5-U5</f>
        <v>4567.4900000000007</v>
      </c>
    </row>
    <row r="6" spans="1:22" x14ac:dyDescent="0.25">
      <c r="A6" s="5" t="s">
        <v>17</v>
      </c>
      <c r="B6" s="6" t="s">
        <v>59</v>
      </c>
      <c r="C6" s="6" t="s">
        <v>82</v>
      </c>
      <c r="D6" s="16">
        <v>3623.52</v>
      </c>
      <c r="E6" s="7"/>
      <c r="F6" s="7"/>
      <c r="G6" s="7"/>
      <c r="H6" s="7">
        <v>726</v>
      </c>
      <c r="I6" s="7"/>
      <c r="J6" s="22"/>
      <c r="K6" s="7">
        <f>260*2</f>
        <v>520</v>
      </c>
      <c r="L6" s="16">
        <f>H6+I6+J6+K6</f>
        <v>1246</v>
      </c>
      <c r="M6" s="7"/>
      <c r="N6" s="7"/>
      <c r="O6" s="7"/>
      <c r="P6" s="16">
        <f t="shared" ref="P6:P36" si="1">D6+E6+F6+G6+L6+M6+N6+O6</f>
        <v>4869.5200000000004</v>
      </c>
      <c r="Q6" s="7">
        <v>72.06</v>
      </c>
      <c r="R6" s="7">
        <v>398.59</v>
      </c>
      <c r="S6" s="7"/>
      <c r="T6" s="7"/>
      <c r="U6" s="16">
        <f t="shared" ref="U6:U56" si="2">Q6+R6+S6+T6</f>
        <v>470.65</v>
      </c>
      <c r="V6" s="16">
        <f t="shared" si="0"/>
        <v>4398.8700000000008</v>
      </c>
    </row>
    <row r="7" spans="1:22" x14ac:dyDescent="0.25">
      <c r="A7" s="8" t="s">
        <v>18</v>
      </c>
      <c r="B7" s="9" t="s">
        <v>60</v>
      </c>
      <c r="C7" s="9" t="s">
        <v>83</v>
      </c>
      <c r="D7" s="16">
        <v>8049.45</v>
      </c>
      <c r="E7" s="7">
        <v>4660.21</v>
      </c>
      <c r="F7" s="7"/>
      <c r="G7" s="7"/>
      <c r="H7" s="7">
        <v>429</v>
      </c>
      <c r="I7" s="7"/>
      <c r="J7" s="22"/>
      <c r="K7" s="7"/>
      <c r="L7" s="16">
        <f>H7+I7+J7+K7</f>
        <v>429</v>
      </c>
      <c r="M7" s="7">
        <v>1553.4</v>
      </c>
      <c r="N7" s="7"/>
      <c r="O7" s="7"/>
      <c r="P7" s="16">
        <f t="shared" si="1"/>
        <v>14692.06</v>
      </c>
      <c r="Q7" s="7">
        <f>1292.1+619.92</f>
        <v>1912.02</v>
      </c>
      <c r="R7" s="7">
        <v>608.44000000000005</v>
      </c>
      <c r="S7" s="7"/>
      <c r="T7" s="7"/>
      <c r="U7" s="16">
        <f t="shared" si="2"/>
        <v>2520.46</v>
      </c>
      <c r="V7" s="16">
        <f t="shared" si="0"/>
        <v>12171.599999999999</v>
      </c>
    </row>
    <row r="8" spans="1:22" x14ac:dyDescent="0.25">
      <c r="A8" s="8" t="s">
        <v>19</v>
      </c>
      <c r="B8" s="9" t="s">
        <v>61</v>
      </c>
      <c r="C8" s="9" t="s">
        <v>84</v>
      </c>
      <c r="D8" s="16">
        <v>5304.22</v>
      </c>
      <c r="E8" s="7"/>
      <c r="F8" s="7"/>
      <c r="G8" s="7"/>
      <c r="H8" s="7">
        <v>726</v>
      </c>
      <c r="I8" s="7">
        <v>167.2</v>
      </c>
      <c r="J8" s="22"/>
      <c r="K8" s="7"/>
      <c r="L8" s="16">
        <f>H8+I8+J8+K8</f>
        <v>893.2</v>
      </c>
      <c r="M8" s="7"/>
      <c r="N8" s="7"/>
      <c r="O8" s="7"/>
      <c r="P8" s="16">
        <f t="shared" si="1"/>
        <v>6197.42</v>
      </c>
      <c r="Q8" s="7">
        <f>340.73</f>
        <v>340.73</v>
      </c>
      <c r="R8" s="7">
        <f>583.46</f>
        <v>583.46</v>
      </c>
      <c r="S8" s="7"/>
      <c r="T8" s="7">
        <v>167.2</v>
      </c>
      <c r="U8" s="16">
        <f t="shared" si="2"/>
        <v>1091.3900000000001</v>
      </c>
      <c r="V8" s="16">
        <f t="shared" si="0"/>
        <v>5106.03</v>
      </c>
    </row>
    <row r="9" spans="1:22" x14ac:dyDescent="0.25">
      <c r="A9" s="6" t="s">
        <v>20</v>
      </c>
      <c r="B9" s="6" t="s">
        <v>58</v>
      </c>
      <c r="C9" s="6" t="s">
        <v>81</v>
      </c>
      <c r="D9" s="16">
        <v>3623.52</v>
      </c>
      <c r="E9" s="7"/>
      <c r="F9" s="7"/>
      <c r="G9" s="7"/>
      <c r="H9" s="7">
        <v>726</v>
      </c>
      <c r="I9" s="7">
        <v>356.4</v>
      </c>
      <c r="J9" s="16">
        <v>430</v>
      </c>
      <c r="K9" s="7"/>
      <c r="L9" s="16">
        <f t="shared" ref="L9:L56" si="3">H9+I9+J9+K9</f>
        <v>1512.4</v>
      </c>
      <c r="M9" s="7"/>
      <c r="N9" s="7"/>
      <c r="O9" s="7"/>
      <c r="P9" s="16">
        <f t="shared" si="1"/>
        <v>5135.92</v>
      </c>
      <c r="Q9" s="7">
        <v>100.5</v>
      </c>
      <c r="R9" s="7">
        <v>398.59</v>
      </c>
      <c r="S9" s="7">
        <v>58.24</v>
      </c>
      <c r="T9" s="7">
        <v>159.43</v>
      </c>
      <c r="U9" s="16">
        <f t="shared" si="2"/>
        <v>716.76</v>
      </c>
      <c r="V9" s="16">
        <f t="shared" si="0"/>
        <v>4419.16</v>
      </c>
    </row>
    <row r="10" spans="1:22" x14ac:dyDescent="0.25">
      <c r="A10" s="5" t="s">
        <v>105</v>
      </c>
      <c r="B10" s="6" t="s">
        <v>62</v>
      </c>
      <c r="C10" s="6" t="s">
        <v>83</v>
      </c>
      <c r="D10" s="16">
        <v>1348.19</v>
      </c>
      <c r="E10" s="7"/>
      <c r="F10" s="7"/>
      <c r="G10" s="7"/>
      <c r="H10" s="7">
        <v>726</v>
      </c>
      <c r="I10" s="7">
        <v>189.2</v>
      </c>
      <c r="J10" s="22"/>
      <c r="K10" s="7"/>
      <c r="L10" s="16">
        <f t="shared" si="3"/>
        <v>915.2</v>
      </c>
      <c r="M10" s="7"/>
      <c r="N10" s="7"/>
      <c r="O10" s="7"/>
      <c r="P10" s="16">
        <f t="shared" si="1"/>
        <v>2263.3900000000003</v>
      </c>
      <c r="Q10" s="7"/>
      <c r="R10" s="7"/>
      <c r="S10" s="7"/>
      <c r="T10" s="7"/>
      <c r="U10" s="16">
        <f t="shared" si="2"/>
        <v>0</v>
      </c>
      <c r="V10" s="16">
        <f t="shared" si="0"/>
        <v>2263.3900000000003</v>
      </c>
    </row>
    <row r="11" spans="1:22" x14ac:dyDescent="0.25">
      <c r="A11" s="5" t="s">
        <v>21</v>
      </c>
      <c r="B11" s="6" t="s">
        <v>58</v>
      </c>
      <c r="C11" s="6" t="s">
        <v>85</v>
      </c>
      <c r="D11" s="16">
        <v>3623.52</v>
      </c>
      <c r="E11" s="7"/>
      <c r="F11" s="7"/>
      <c r="G11" s="7"/>
      <c r="H11" s="7">
        <v>726</v>
      </c>
      <c r="I11" s="7">
        <v>167.2</v>
      </c>
      <c r="J11" s="22"/>
      <c r="K11" s="7"/>
      <c r="L11" s="16">
        <f t="shared" si="3"/>
        <v>893.2</v>
      </c>
      <c r="M11" s="7"/>
      <c r="N11" s="7"/>
      <c r="O11" s="7"/>
      <c r="P11" s="16">
        <f t="shared" si="1"/>
        <v>4516.72</v>
      </c>
      <c r="Q11" s="7">
        <v>128.94</v>
      </c>
      <c r="R11" s="7">
        <v>398.59</v>
      </c>
      <c r="S11" s="7">
        <v>36.24</v>
      </c>
      <c r="T11" s="7">
        <v>159.43</v>
      </c>
      <c r="U11" s="16">
        <f t="shared" si="2"/>
        <v>723.2</v>
      </c>
      <c r="V11" s="16">
        <f t="shared" si="0"/>
        <v>3793.5200000000004</v>
      </c>
    </row>
    <row r="12" spans="1:22" x14ac:dyDescent="0.25">
      <c r="A12" s="5" t="s">
        <v>22</v>
      </c>
      <c r="B12" s="6" t="s">
        <v>62</v>
      </c>
      <c r="C12" s="6" t="s">
        <v>86</v>
      </c>
      <c r="D12" s="16">
        <v>539.28</v>
      </c>
      <c r="E12" s="7">
        <v>674.09</v>
      </c>
      <c r="F12" s="7"/>
      <c r="G12" s="7"/>
      <c r="H12" s="7">
        <v>363</v>
      </c>
      <c r="I12" s="7">
        <v>178.2</v>
      </c>
      <c r="J12" s="22"/>
      <c r="K12" s="7"/>
      <c r="L12" s="16">
        <f t="shared" si="3"/>
        <v>541.20000000000005</v>
      </c>
      <c r="M12" s="7"/>
      <c r="N12" s="7"/>
      <c r="O12" s="7"/>
      <c r="P12" s="16">
        <f t="shared" si="1"/>
        <v>1754.57</v>
      </c>
      <c r="Q12" s="7"/>
      <c r="R12" s="7"/>
      <c r="S12" s="7"/>
      <c r="T12" s="7"/>
      <c r="U12" s="16">
        <f t="shared" si="2"/>
        <v>0</v>
      </c>
      <c r="V12" s="16">
        <f t="shared" si="0"/>
        <v>1754.57</v>
      </c>
    </row>
    <row r="13" spans="1:22" x14ac:dyDescent="0.25">
      <c r="A13" s="6" t="s">
        <v>23</v>
      </c>
      <c r="B13" s="6" t="s">
        <v>63</v>
      </c>
      <c r="C13" s="6" t="s">
        <v>87</v>
      </c>
      <c r="D13" s="16">
        <v>9677.56</v>
      </c>
      <c r="E13" s="10"/>
      <c r="F13" s="7"/>
      <c r="G13" s="7"/>
      <c r="H13" s="7">
        <v>726</v>
      </c>
      <c r="I13" s="7"/>
      <c r="J13" s="26">
        <f>302.85+302.85</f>
        <v>605.70000000000005</v>
      </c>
      <c r="K13" s="7"/>
      <c r="L13" s="16">
        <f t="shared" si="3"/>
        <v>1331.7</v>
      </c>
      <c r="M13" s="10"/>
      <c r="N13" s="7"/>
      <c r="O13" s="7"/>
      <c r="P13" s="16">
        <f t="shared" si="1"/>
        <v>11009.26</v>
      </c>
      <c r="Q13" s="7">
        <v>1624.65</v>
      </c>
      <c r="R13" s="7">
        <v>608.44000000000005</v>
      </c>
      <c r="S13" s="7"/>
      <c r="T13" s="7"/>
      <c r="U13" s="16">
        <f t="shared" si="2"/>
        <v>2233.09</v>
      </c>
      <c r="V13" s="16">
        <f t="shared" si="0"/>
        <v>8776.17</v>
      </c>
    </row>
    <row r="14" spans="1:22" x14ac:dyDescent="0.25">
      <c r="A14" s="6" t="s">
        <v>24</v>
      </c>
      <c r="B14" s="6" t="s">
        <v>58</v>
      </c>
      <c r="C14" s="6" t="s">
        <v>85</v>
      </c>
      <c r="D14" s="16">
        <v>3261.17</v>
      </c>
      <c r="E14" s="7">
        <v>3623.52</v>
      </c>
      <c r="F14" s="7"/>
      <c r="G14" s="7">
        <f>8.04+1.34</f>
        <v>9.379999999999999</v>
      </c>
      <c r="H14" s="7">
        <v>627</v>
      </c>
      <c r="I14" s="7">
        <v>307.8</v>
      </c>
      <c r="J14" s="22"/>
      <c r="K14" s="7"/>
      <c r="L14" s="16">
        <f t="shared" si="3"/>
        <v>934.8</v>
      </c>
      <c r="M14" s="7">
        <v>1210.97</v>
      </c>
      <c r="N14" s="7"/>
      <c r="O14" s="7"/>
      <c r="P14" s="16">
        <f t="shared" si="1"/>
        <v>9039.84</v>
      </c>
      <c r="Q14" s="7">
        <f>78.39+337.13</f>
        <v>415.52</v>
      </c>
      <c r="R14" s="7">
        <f>373.26+518.29</f>
        <v>891.55</v>
      </c>
      <c r="S14" s="7"/>
      <c r="T14" s="7">
        <v>137.69</v>
      </c>
      <c r="U14" s="16">
        <f t="shared" si="2"/>
        <v>1444.76</v>
      </c>
      <c r="V14" s="16">
        <f t="shared" si="0"/>
        <v>7595.08</v>
      </c>
    </row>
    <row r="15" spans="1:22" x14ac:dyDescent="0.25">
      <c r="A15" s="11" t="s">
        <v>25</v>
      </c>
      <c r="B15" s="12" t="s">
        <v>64</v>
      </c>
      <c r="C15" s="12" t="s">
        <v>88</v>
      </c>
      <c r="D15" s="16">
        <v>9677.56</v>
      </c>
      <c r="E15" s="7"/>
      <c r="F15" s="7"/>
      <c r="G15" s="7"/>
      <c r="H15" s="7">
        <v>726</v>
      </c>
      <c r="I15" s="7">
        <v>189.2</v>
      </c>
      <c r="J15" s="22">
        <v>692.25</v>
      </c>
      <c r="K15" s="7"/>
      <c r="L15" s="16">
        <f t="shared" si="3"/>
        <v>1607.45</v>
      </c>
      <c r="M15" s="7"/>
      <c r="N15" s="7"/>
      <c r="O15" s="7"/>
      <c r="P15" s="16">
        <f t="shared" si="1"/>
        <v>11285.01</v>
      </c>
      <c r="Q15" s="7">
        <v>1624.65</v>
      </c>
      <c r="R15" s="7">
        <v>608.44000000000005</v>
      </c>
      <c r="S15" s="7"/>
      <c r="T15" s="7">
        <v>189.2</v>
      </c>
      <c r="U15" s="16">
        <f t="shared" si="2"/>
        <v>2422.29</v>
      </c>
      <c r="V15" s="16">
        <f t="shared" si="0"/>
        <v>8862.7200000000012</v>
      </c>
    </row>
    <row r="16" spans="1:22" x14ac:dyDescent="0.25">
      <c r="A16" s="5" t="s">
        <v>103</v>
      </c>
      <c r="B16" s="6" t="s">
        <v>62</v>
      </c>
      <c r="C16" s="6" t="s">
        <v>89</v>
      </c>
      <c r="D16" s="16">
        <v>1348.19</v>
      </c>
      <c r="E16" s="7"/>
      <c r="F16" s="7"/>
      <c r="G16" s="7"/>
      <c r="H16" s="7">
        <v>726</v>
      </c>
      <c r="I16" s="7">
        <v>418</v>
      </c>
      <c r="J16" s="22"/>
      <c r="K16" s="7"/>
      <c r="L16" s="16">
        <f t="shared" si="3"/>
        <v>1144</v>
      </c>
      <c r="M16" s="7"/>
      <c r="N16" s="7"/>
      <c r="O16" s="7"/>
      <c r="P16" s="16">
        <f t="shared" si="1"/>
        <v>2492.19</v>
      </c>
      <c r="Q16" s="7"/>
      <c r="R16" s="7"/>
      <c r="S16" s="7"/>
      <c r="T16" s="7"/>
      <c r="U16" s="16">
        <f t="shared" si="2"/>
        <v>0</v>
      </c>
      <c r="V16" s="16">
        <f t="shared" si="0"/>
        <v>2492.19</v>
      </c>
    </row>
    <row r="17" spans="1:22" x14ac:dyDescent="0.25">
      <c r="A17" s="11" t="s">
        <v>99</v>
      </c>
      <c r="B17" s="13" t="s">
        <v>65</v>
      </c>
      <c r="C17" s="13" t="s">
        <v>84</v>
      </c>
      <c r="D17" s="16"/>
      <c r="E17" s="7"/>
      <c r="F17" s="7"/>
      <c r="G17" s="7"/>
      <c r="H17" s="27"/>
      <c r="I17" s="7"/>
      <c r="J17" s="22">
        <v>840.79</v>
      </c>
      <c r="K17" s="7"/>
      <c r="L17" s="16">
        <f t="shared" si="3"/>
        <v>840.79</v>
      </c>
      <c r="M17" s="7"/>
      <c r="N17" s="7"/>
      <c r="O17" s="7">
        <v>5589</v>
      </c>
      <c r="P17" s="16">
        <f t="shared" si="1"/>
        <v>6429.79</v>
      </c>
      <c r="Q17" s="7">
        <v>615.48</v>
      </c>
      <c r="R17" s="16"/>
      <c r="S17" s="7"/>
      <c r="T17" s="7"/>
      <c r="U17" s="16">
        <f t="shared" si="2"/>
        <v>615.48</v>
      </c>
      <c r="V17" s="16">
        <f t="shared" si="0"/>
        <v>5814.3099999999995</v>
      </c>
    </row>
    <row r="18" spans="1:22" x14ac:dyDescent="0.25">
      <c r="A18" s="5" t="s">
        <v>26</v>
      </c>
      <c r="B18" s="6" t="s">
        <v>58</v>
      </c>
      <c r="C18" s="6" t="s">
        <v>81</v>
      </c>
      <c r="D18" s="16">
        <v>1207.8399999999999</v>
      </c>
      <c r="E18" s="7">
        <v>2415.6799999999998</v>
      </c>
      <c r="F18" s="7"/>
      <c r="G18" s="7">
        <f>1.36+46.65+0.23+7.78</f>
        <v>56.019999999999996</v>
      </c>
      <c r="H18" s="7">
        <v>231</v>
      </c>
      <c r="I18" s="7">
        <v>113.4</v>
      </c>
      <c r="J18" s="16">
        <v>326.51</v>
      </c>
      <c r="K18" s="7"/>
      <c r="L18" s="16">
        <f t="shared" si="3"/>
        <v>670.91</v>
      </c>
      <c r="M18" s="7">
        <v>823.9</v>
      </c>
      <c r="N18" s="7"/>
      <c r="O18" s="7"/>
      <c r="P18" s="16">
        <f t="shared" si="1"/>
        <v>5174.3499999999995</v>
      </c>
      <c r="Q18" s="7">
        <v>85.16</v>
      </c>
      <c r="R18" s="16">
        <v>132.86000000000001</v>
      </c>
      <c r="S18" s="7">
        <v>23.08</v>
      </c>
      <c r="T18" s="7">
        <v>50.73</v>
      </c>
      <c r="U18" s="16">
        <f t="shared" si="2"/>
        <v>291.83000000000004</v>
      </c>
      <c r="V18" s="16">
        <f t="shared" si="0"/>
        <v>4882.5199999999995</v>
      </c>
    </row>
    <row r="19" spans="1:22" x14ac:dyDescent="0.25">
      <c r="A19" s="5" t="s">
        <v>27</v>
      </c>
      <c r="B19" s="6" t="s">
        <v>66</v>
      </c>
      <c r="C19" s="6" t="s">
        <v>86</v>
      </c>
      <c r="D19" s="16">
        <v>3315</v>
      </c>
      <c r="E19" s="7">
        <v>4972.5</v>
      </c>
      <c r="F19" s="7"/>
      <c r="G19" s="7">
        <f>121.03+20.17</f>
        <v>141.19999999999999</v>
      </c>
      <c r="H19" s="7">
        <v>264</v>
      </c>
      <c r="I19" s="7">
        <v>68.8</v>
      </c>
      <c r="J19" s="22"/>
      <c r="K19" s="7"/>
      <c r="L19" s="16">
        <f t="shared" si="3"/>
        <v>332.8</v>
      </c>
      <c r="M19" s="7">
        <v>1704.56</v>
      </c>
      <c r="N19" s="7"/>
      <c r="O19" s="7"/>
      <c r="P19" s="16">
        <f t="shared" si="1"/>
        <v>10466.06</v>
      </c>
      <c r="Q19" s="7">
        <f>142.45+838.34</f>
        <v>980.79</v>
      </c>
      <c r="R19" s="7">
        <v>608.44000000000005</v>
      </c>
      <c r="S19" s="7"/>
      <c r="T19" s="7">
        <v>68.8</v>
      </c>
      <c r="U19" s="16">
        <f t="shared" si="2"/>
        <v>1658.03</v>
      </c>
      <c r="V19" s="16">
        <f t="shared" si="0"/>
        <v>8808.0299999999988</v>
      </c>
    </row>
    <row r="20" spans="1:22" x14ac:dyDescent="0.25">
      <c r="A20" s="5" t="s">
        <v>28</v>
      </c>
      <c r="B20" s="6" t="s">
        <v>67</v>
      </c>
      <c r="C20" s="6" t="s">
        <v>85</v>
      </c>
      <c r="D20" s="16">
        <v>4143.75</v>
      </c>
      <c r="E20" s="7">
        <v>4143.75</v>
      </c>
      <c r="F20" s="7"/>
      <c r="G20" s="7"/>
      <c r="H20" s="7">
        <v>363</v>
      </c>
      <c r="I20" s="7"/>
      <c r="J20" s="22"/>
      <c r="K20" s="7"/>
      <c r="L20" s="16">
        <f t="shared" si="3"/>
        <v>363</v>
      </c>
      <c r="M20" s="7">
        <v>1381.25</v>
      </c>
      <c r="N20" s="7"/>
      <c r="O20" s="7"/>
      <c r="P20" s="16">
        <f t="shared" si="1"/>
        <v>10031.75</v>
      </c>
      <c r="Q20" s="7">
        <f>296.06+482.88</f>
        <v>778.94</v>
      </c>
      <c r="R20" s="7">
        <f>0.69+607.75</f>
        <v>608.44000000000005</v>
      </c>
      <c r="S20" s="7">
        <v>22</v>
      </c>
      <c r="T20" s="7"/>
      <c r="U20" s="16">
        <f t="shared" si="2"/>
        <v>1409.38</v>
      </c>
      <c r="V20" s="16">
        <f t="shared" si="0"/>
        <v>8622.369999999999</v>
      </c>
    </row>
    <row r="21" spans="1:22" x14ac:dyDescent="0.25">
      <c r="A21" s="5" t="s">
        <v>117</v>
      </c>
      <c r="B21" s="6" t="s">
        <v>58</v>
      </c>
      <c r="C21" s="6" t="s">
        <v>81</v>
      </c>
      <c r="D21" s="16">
        <v>3623.52</v>
      </c>
      <c r="E21" s="7"/>
      <c r="F21" s="7"/>
      <c r="G21" s="7"/>
      <c r="H21" s="7">
        <v>726</v>
      </c>
      <c r="I21" s="7">
        <v>648</v>
      </c>
      <c r="J21" s="22"/>
      <c r="K21" s="7"/>
      <c r="L21" s="16">
        <f t="shared" si="3"/>
        <v>1374</v>
      </c>
      <c r="M21" s="10"/>
      <c r="N21" s="7"/>
      <c r="O21" s="7"/>
      <c r="P21" s="16">
        <f t="shared" si="1"/>
        <v>4997.5200000000004</v>
      </c>
      <c r="Q21" s="7">
        <v>128.94</v>
      </c>
      <c r="R21" s="7">
        <v>398.59</v>
      </c>
      <c r="S21" s="7">
        <v>120.78</v>
      </c>
      <c r="T21" s="7">
        <v>159.43</v>
      </c>
      <c r="U21" s="16">
        <f t="shared" si="2"/>
        <v>807.74</v>
      </c>
      <c r="V21" s="16">
        <f t="shared" si="0"/>
        <v>4189.7800000000007</v>
      </c>
    </row>
    <row r="22" spans="1:22" x14ac:dyDescent="0.25">
      <c r="A22" s="5" t="s">
        <v>29</v>
      </c>
      <c r="B22" s="6" t="s">
        <v>68</v>
      </c>
      <c r="C22" s="6" t="s">
        <v>89</v>
      </c>
      <c r="D22" s="16">
        <v>12709.66</v>
      </c>
      <c r="E22" s="7"/>
      <c r="F22" s="7"/>
      <c r="G22" s="7"/>
      <c r="H22" s="7">
        <v>726</v>
      </c>
      <c r="I22" s="7"/>
      <c r="J22" s="22">
        <v>483.98</v>
      </c>
      <c r="K22" s="7"/>
      <c r="L22" s="16">
        <f t="shared" si="3"/>
        <v>1209.98</v>
      </c>
      <c r="M22" s="7"/>
      <c r="N22" s="7"/>
      <c r="O22" s="7"/>
      <c r="P22" s="16">
        <f t="shared" si="1"/>
        <v>13919.64</v>
      </c>
      <c r="Q22" s="7">
        <v>2458.48</v>
      </c>
      <c r="R22" s="7">
        <v>608.44000000000005</v>
      </c>
      <c r="S22" s="7"/>
      <c r="T22" s="7"/>
      <c r="U22" s="16">
        <f t="shared" si="2"/>
        <v>3066.92</v>
      </c>
      <c r="V22" s="16">
        <f t="shared" si="0"/>
        <v>10852.72</v>
      </c>
    </row>
    <row r="23" spans="1:22" x14ac:dyDescent="0.25">
      <c r="A23" s="5" t="s">
        <v>125</v>
      </c>
      <c r="B23" s="6" t="s">
        <v>62</v>
      </c>
      <c r="C23" s="6" t="s">
        <v>87</v>
      </c>
      <c r="D23" s="16">
        <v>1078.55</v>
      </c>
      <c r="E23" s="7"/>
      <c r="F23" s="7"/>
      <c r="G23" s="7"/>
      <c r="H23" s="27"/>
      <c r="I23" s="7">
        <v>306</v>
      </c>
      <c r="J23" s="22"/>
      <c r="K23" s="7"/>
      <c r="L23" s="16">
        <f t="shared" si="3"/>
        <v>306</v>
      </c>
      <c r="M23" s="7"/>
      <c r="N23" s="7"/>
      <c r="O23" s="7"/>
      <c r="P23" s="16">
        <f t="shared" si="1"/>
        <v>1384.55</v>
      </c>
      <c r="Q23" s="7"/>
      <c r="R23" s="7"/>
      <c r="S23" s="7"/>
      <c r="T23" s="7"/>
      <c r="U23" s="16">
        <f t="shared" si="2"/>
        <v>0</v>
      </c>
      <c r="V23" s="16">
        <f t="shared" si="0"/>
        <v>1384.55</v>
      </c>
    </row>
    <row r="24" spans="1:22" x14ac:dyDescent="0.25">
      <c r="A24" s="5" t="s">
        <v>124</v>
      </c>
      <c r="B24" s="6" t="s">
        <v>62</v>
      </c>
      <c r="C24" s="6" t="s">
        <v>89</v>
      </c>
      <c r="D24" s="16">
        <v>1348.19</v>
      </c>
      <c r="E24" s="7"/>
      <c r="F24" s="7"/>
      <c r="G24" s="7"/>
      <c r="H24" s="27"/>
      <c r="I24" s="7">
        <v>223.6</v>
      </c>
      <c r="J24" s="22"/>
      <c r="K24" s="7"/>
      <c r="L24" s="16">
        <f t="shared" si="3"/>
        <v>223.6</v>
      </c>
      <c r="M24" s="7"/>
      <c r="N24" s="7"/>
      <c r="O24" s="7"/>
      <c r="P24" s="16">
        <f t="shared" si="1"/>
        <v>1571.79</v>
      </c>
      <c r="Q24" s="7"/>
      <c r="R24" s="7"/>
      <c r="S24" s="7"/>
      <c r="T24" s="7"/>
      <c r="U24" s="16">
        <f t="shared" si="2"/>
        <v>0</v>
      </c>
      <c r="V24" s="16">
        <f t="shared" si="0"/>
        <v>1571.79</v>
      </c>
    </row>
    <row r="25" spans="1:22" x14ac:dyDescent="0.25">
      <c r="A25" s="5" t="s">
        <v>31</v>
      </c>
      <c r="B25" s="14" t="s">
        <v>69</v>
      </c>
      <c r="C25" s="6" t="s">
        <v>85</v>
      </c>
      <c r="D25" s="16">
        <v>5507.52</v>
      </c>
      <c r="E25" s="7">
        <v>8473.11</v>
      </c>
      <c r="F25" s="7"/>
      <c r="G25" s="7"/>
      <c r="H25" s="7">
        <v>297</v>
      </c>
      <c r="I25" s="7">
        <v>144</v>
      </c>
      <c r="J25" s="22"/>
      <c r="K25" s="7"/>
      <c r="L25" s="16">
        <f t="shared" si="3"/>
        <v>441</v>
      </c>
      <c r="M25" s="7">
        <v>2824.37</v>
      </c>
      <c r="N25" s="7"/>
      <c r="O25" s="7"/>
      <c r="P25" s="16">
        <f t="shared" si="1"/>
        <v>17246</v>
      </c>
      <c r="Q25" s="7">
        <f>645.21+2070.13</f>
        <v>2715.34</v>
      </c>
      <c r="R25" s="7">
        <v>608.44000000000005</v>
      </c>
      <c r="S25" s="7">
        <v>11</v>
      </c>
      <c r="T25" s="7">
        <v>144</v>
      </c>
      <c r="U25" s="16">
        <f t="shared" si="2"/>
        <v>3478.78</v>
      </c>
      <c r="V25" s="16">
        <f t="shared" si="0"/>
        <v>13767.22</v>
      </c>
    </row>
    <row r="26" spans="1:22" x14ac:dyDescent="0.25">
      <c r="A26" s="5" t="s">
        <v>32</v>
      </c>
      <c r="B26" s="6" t="s">
        <v>70</v>
      </c>
      <c r="C26" s="6" t="s">
        <v>90</v>
      </c>
      <c r="D26" s="16">
        <v>3623.52</v>
      </c>
      <c r="E26" s="7"/>
      <c r="F26" s="7"/>
      <c r="G26" s="7"/>
      <c r="H26" s="7">
        <v>726</v>
      </c>
      <c r="I26" s="7"/>
      <c r="J26" s="22"/>
      <c r="K26" s="7"/>
      <c r="L26" s="16">
        <f t="shared" si="3"/>
        <v>726</v>
      </c>
      <c r="M26" s="7"/>
      <c r="N26" s="7"/>
      <c r="O26" s="7"/>
      <c r="P26" s="16">
        <f t="shared" si="1"/>
        <v>4349.5200000000004</v>
      </c>
      <c r="Q26" s="7">
        <v>128.94</v>
      </c>
      <c r="R26" s="7">
        <v>398.59</v>
      </c>
      <c r="S26" s="7">
        <v>36.24</v>
      </c>
      <c r="T26" s="7"/>
      <c r="U26" s="16">
        <f t="shared" si="2"/>
        <v>563.77</v>
      </c>
      <c r="V26" s="16">
        <f t="shared" si="0"/>
        <v>3785.7500000000005</v>
      </c>
    </row>
    <row r="27" spans="1:22" x14ac:dyDescent="0.25">
      <c r="A27" s="5" t="s">
        <v>33</v>
      </c>
      <c r="B27" s="6" t="s">
        <v>58</v>
      </c>
      <c r="C27" s="6" t="s">
        <v>81</v>
      </c>
      <c r="D27" s="16">
        <v>3623.52</v>
      </c>
      <c r="E27" s="7"/>
      <c r="F27" s="7"/>
      <c r="G27" s="7"/>
      <c r="H27" s="7">
        <v>726</v>
      </c>
      <c r="I27" s="7"/>
      <c r="J27" s="16">
        <f>318.41*2</f>
        <v>636.82000000000005</v>
      </c>
      <c r="K27" s="7"/>
      <c r="L27" s="16">
        <f t="shared" si="3"/>
        <v>1362.8200000000002</v>
      </c>
      <c r="M27" s="7"/>
      <c r="N27" s="7"/>
      <c r="O27" s="7"/>
      <c r="P27" s="16">
        <f t="shared" si="1"/>
        <v>4986.34</v>
      </c>
      <c r="Q27" s="7">
        <v>128.94</v>
      </c>
      <c r="R27" s="7">
        <v>398.59</v>
      </c>
      <c r="S27" s="7"/>
      <c r="T27" s="7"/>
      <c r="U27" s="16">
        <f t="shared" si="2"/>
        <v>527.53</v>
      </c>
      <c r="V27" s="16">
        <f t="shared" si="0"/>
        <v>4458.8100000000004</v>
      </c>
    </row>
    <row r="28" spans="1:22" x14ac:dyDescent="0.25">
      <c r="A28" s="5" t="s">
        <v>34</v>
      </c>
      <c r="B28" s="6" t="s">
        <v>67</v>
      </c>
      <c r="C28" s="6" t="s">
        <v>85</v>
      </c>
      <c r="D28" s="16">
        <v>8287.5</v>
      </c>
      <c r="E28" s="7"/>
      <c r="F28" s="7"/>
      <c r="G28" s="7"/>
      <c r="H28" s="7">
        <v>726</v>
      </c>
      <c r="I28" s="7"/>
      <c r="J28" s="22"/>
      <c r="K28" s="7"/>
      <c r="L28" s="16">
        <f t="shared" si="3"/>
        <v>726</v>
      </c>
      <c r="M28" s="7"/>
      <c r="N28" s="7"/>
      <c r="O28" s="7"/>
      <c r="P28" s="16">
        <f t="shared" si="1"/>
        <v>9013.5</v>
      </c>
      <c r="Q28" s="7">
        <v>1242.3800000000001</v>
      </c>
      <c r="R28" s="7">
        <v>608.44000000000005</v>
      </c>
      <c r="S28" s="7"/>
      <c r="T28" s="7"/>
      <c r="U28" s="16">
        <f t="shared" si="2"/>
        <v>1850.8200000000002</v>
      </c>
      <c r="V28" s="16">
        <f t="shared" si="0"/>
        <v>7162.68</v>
      </c>
    </row>
    <row r="29" spans="1:22" x14ac:dyDescent="0.25">
      <c r="A29" s="5" t="s">
        <v>110</v>
      </c>
      <c r="B29" s="6" t="s">
        <v>62</v>
      </c>
      <c r="C29" s="6" t="s">
        <v>93</v>
      </c>
      <c r="D29" s="16">
        <v>1348.19</v>
      </c>
      <c r="E29" s="7"/>
      <c r="F29" s="7"/>
      <c r="G29" s="7"/>
      <c r="H29" s="7">
        <v>726</v>
      </c>
      <c r="I29" s="7">
        <v>352</v>
      </c>
      <c r="J29" s="22"/>
      <c r="K29" s="7"/>
      <c r="L29" s="16">
        <f t="shared" si="3"/>
        <v>1078</v>
      </c>
      <c r="M29" s="7"/>
      <c r="N29" s="7"/>
      <c r="O29" s="7"/>
      <c r="P29" s="16">
        <f t="shared" si="1"/>
        <v>2426.19</v>
      </c>
      <c r="Q29" s="7"/>
      <c r="R29" s="7"/>
      <c r="S29" s="7"/>
      <c r="T29" s="7"/>
      <c r="U29" s="16">
        <f t="shared" si="2"/>
        <v>0</v>
      </c>
      <c r="V29" s="16">
        <f t="shared" si="0"/>
        <v>2426.19</v>
      </c>
    </row>
    <row r="30" spans="1:22" x14ac:dyDescent="0.25">
      <c r="A30" s="5" t="s">
        <v>107</v>
      </c>
      <c r="B30" s="15" t="s">
        <v>71</v>
      </c>
      <c r="C30" s="6" t="s">
        <v>87</v>
      </c>
      <c r="D30" s="16">
        <v>6995.3</v>
      </c>
      <c r="E30" s="7"/>
      <c r="F30" s="7"/>
      <c r="G30" s="7"/>
      <c r="H30" s="7">
        <v>726</v>
      </c>
      <c r="I30" s="7">
        <v>189.2</v>
      </c>
      <c r="J30" s="22">
        <v>421.59</v>
      </c>
      <c r="K30" s="7"/>
      <c r="L30" s="16">
        <f t="shared" si="3"/>
        <v>1336.79</v>
      </c>
      <c r="M30" s="7"/>
      <c r="N30" s="7"/>
      <c r="O30" s="7"/>
      <c r="P30" s="16">
        <f t="shared" si="1"/>
        <v>8332.09</v>
      </c>
      <c r="Q30" s="7">
        <v>887.03</v>
      </c>
      <c r="R30" s="7">
        <v>608.44000000000005</v>
      </c>
      <c r="S30" s="7"/>
      <c r="T30" s="7">
        <v>189.2</v>
      </c>
      <c r="U30" s="16">
        <f t="shared" si="2"/>
        <v>1684.67</v>
      </c>
      <c r="V30" s="16">
        <f t="shared" si="0"/>
        <v>6647.42</v>
      </c>
    </row>
    <row r="31" spans="1:22" x14ac:dyDescent="0.25">
      <c r="A31" s="11" t="s">
        <v>35</v>
      </c>
      <c r="B31" s="13" t="s">
        <v>59</v>
      </c>
      <c r="C31" s="6" t="s">
        <v>89</v>
      </c>
      <c r="D31" s="16">
        <v>2536.46</v>
      </c>
      <c r="E31" s="7"/>
      <c r="F31" s="7"/>
      <c r="G31" s="7"/>
      <c r="H31" s="7">
        <v>528</v>
      </c>
      <c r="I31" s="7">
        <v>256</v>
      </c>
      <c r="J31" s="22"/>
      <c r="K31" s="7"/>
      <c r="L31" s="16">
        <f t="shared" si="3"/>
        <v>784</v>
      </c>
      <c r="M31" s="7"/>
      <c r="N31" s="7"/>
      <c r="O31" s="7"/>
      <c r="P31" s="16">
        <f t="shared" si="1"/>
        <v>3320.46</v>
      </c>
      <c r="Q31" s="7">
        <v>23.25</v>
      </c>
      <c r="R31" s="7">
        <v>322.5</v>
      </c>
      <c r="S31" s="7"/>
      <c r="T31" s="7">
        <v>115.95</v>
      </c>
      <c r="U31" s="16">
        <f t="shared" si="2"/>
        <v>461.7</v>
      </c>
      <c r="V31" s="16">
        <f t="shared" si="0"/>
        <v>2858.76</v>
      </c>
    </row>
    <row r="32" spans="1:22" x14ac:dyDescent="0.25">
      <c r="A32" s="5" t="s">
        <v>36</v>
      </c>
      <c r="B32" s="6" t="s">
        <v>67</v>
      </c>
      <c r="C32" s="6" t="s">
        <v>85</v>
      </c>
      <c r="D32" s="16">
        <v>8287.5</v>
      </c>
      <c r="E32" s="7"/>
      <c r="F32" s="7"/>
      <c r="G32" s="7"/>
      <c r="H32" s="7">
        <v>726</v>
      </c>
      <c r="I32" s="7"/>
      <c r="J32" s="16">
        <v>318.41000000000003</v>
      </c>
      <c r="K32" s="7"/>
      <c r="L32" s="16">
        <f t="shared" si="3"/>
        <v>1044.4100000000001</v>
      </c>
      <c r="M32" s="7"/>
      <c r="N32" s="7"/>
      <c r="O32" s="7"/>
      <c r="P32" s="16">
        <f t="shared" si="1"/>
        <v>9331.91</v>
      </c>
      <c r="Q32" s="7">
        <v>1242.3800000000001</v>
      </c>
      <c r="R32" s="7">
        <v>608.44000000000005</v>
      </c>
      <c r="S32" s="7">
        <v>11</v>
      </c>
      <c r="T32" s="7"/>
      <c r="U32" s="16">
        <f t="shared" si="2"/>
        <v>1861.8200000000002</v>
      </c>
      <c r="V32" s="16">
        <f t="shared" si="0"/>
        <v>7470.09</v>
      </c>
    </row>
    <row r="33" spans="1:22" x14ac:dyDescent="0.25">
      <c r="A33" s="5" t="s">
        <v>37</v>
      </c>
      <c r="B33" s="6" t="s">
        <v>66</v>
      </c>
      <c r="C33" s="6" t="s">
        <v>86</v>
      </c>
      <c r="D33" s="16">
        <v>8287.5</v>
      </c>
      <c r="E33" s="10"/>
      <c r="F33" s="7"/>
      <c r="G33" s="7"/>
      <c r="H33" s="7">
        <v>726</v>
      </c>
      <c r="I33" s="7">
        <v>189.2</v>
      </c>
      <c r="J33" s="16">
        <v>372.31</v>
      </c>
      <c r="K33" s="7"/>
      <c r="L33" s="16">
        <f t="shared" si="3"/>
        <v>1287.51</v>
      </c>
      <c r="M33" s="7"/>
      <c r="N33" s="7"/>
      <c r="O33" s="7"/>
      <c r="P33" s="16">
        <f t="shared" si="1"/>
        <v>9575.01</v>
      </c>
      <c r="Q33" s="7">
        <v>1242.3800000000001</v>
      </c>
      <c r="R33" s="7">
        <v>608.44000000000005</v>
      </c>
      <c r="S33" s="7"/>
      <c r="T33" s="7">
        <v>189.2</v>
      </c>
      <c r="U33" s="16">
        <f t="shared" si="2"/>
        <v>2040.0200000000002</v>
      </c>
      <c r="V33" s="16">
        <f t="shared" si="0"/>
        <v>7534.99</v>
      </c>
    </row>
    <row r="34" spans="1:22" x14ac:dyDescent="0.25">
      <c r="A34" s="6" t="s">
        <v>38</v>
      </c>
      <c r="B34" s="6" t="s">
        <v>59</v>
      </c>
      <c r="C34" s="6" t="s">
        <v>89</v>
      </c>
      <c r="D34" s="16">
        <v>3623.52</v>
      </c>
      <c r="E34" s="7"/>
      <c r="F34" s="7"/>
      <c r="G34" s="7"/>
      <c r="H34" s="7">
        <v>726</v>
      </c>
      <c r="I34" s="7">
        <v>530.20000000000005</v>
      </c>
      <c r="J34" s="16"/>
      <c r="K34" s="7"/>
      <c r="L34" s="16">
        <f t="shared" si="3"/>
        <v>1256.2</v>
      </c>
      <c r="M34" s="7"/>
      <c r="N34" s="7"/>
      <c r="O34" s="7"/>
      <c r="P34" s="16">
        <f t="shared" si="1"/>
        <v>4879.72</v>
      </c>
      <c r="Q34" s="7">
        <v>128.94</v>
      </c>
      <c r="R34" s="7">
        <v>398.59</v>
      </c>
      <c r="S34" s="7">
        <v>11</v>
      </c>
      <c r="T34" s="7">
        <v>159.43</v>
      </c>
      <c r="U34" s="16">
        <f t="shared" si="2"/>
        <v>697.96</v>
      </c>
      <c r="V34" s="16">
        <f t="shared" si="0"/>
        <v>4181.76</v>
      </c>
    </row>
    <row r="35" spans="1:22" x14ac:dyDescent="0.25">
      <c r="A35" s="6" t="s">
        <v>39</v>
      </c>
      <c r="B35" s="6" t="s">
        <v>72</v>
      </c>
      <c r="C35" s="6" t="s">
        <v>86</v>
      </c>
      <c r="D35" s="16">
        <v>12709.66</v>
      </c>
      <c r="E35" s="7"/>
      <c r="F35" s="7"/>
      <c r="G35" s="7"/>
      <c r="H35" s="7">
        <v>726</v>
      </c>
      <c r="I35" s="7">
        <v>1267.42</v>
      </c>
      <c r="J35" s="16"/>
      <c r="K35" s="7">
        <v>260</v>
      </c>
      <c r="L35" s="16">
        <f t="shared" si="3"/>
        <v>2253.42</v>
      </c>
      <c r="M35" s="7"/>
      <c r="N35" s="7"/>
      <c r="O35" s="7"/>
      <c r="P35" s="16">
        <f t="shared" si="1"/>
        <v>14963.08</v>
      </c>
      <c r="Q35" s="7">
        <v>2458.48</v>
      </c>
      <c r="R35" s="16">
        <v>608.44000000000005</v>
      </c>
      <c r="S35" s="7"/>
      <c r="T35" s="7">
        <v>559.23</v>
      </c>
      <c r="U35" s="16">
        <f t="shared" si="2"/>
        <v>3626.15</v>
      </c>
      <c r="V35" s="16">
        <f t="shared" si="0"/>
        <v>11336.93</v>
      </c>
    </row>
    <row r="36" spans="1:22" x14ac:dyDescent="0.25">
      <c r="A36" s="6" t="s">
        <v>40</v>
      </c>
      <c r="B36" s="6" t="s">
        <v>73</v>
      </c>
      <c r="C36" s="6" t="s">
        <v>83</v>
      </c>
      <c r="D36" s="16">
        <v>3623.52</v>
      </c>
      <c r="E36" s="7"/>
      <c r="F36" s="7"/>
      <c r="G36" s="7"/>
      <c r="H36" s="7">
        <v>726</v>
      </c>
      <c r="I36" s="7">
        <v>352</v>
      </c>
      <c r="J36" s="16"/>
      <c r="K36" s="7"/>
      <c r="L36" s="16">
        <f t="shared" si="3"/>
        <v>1078</v>
      </c>
      <c r="M36" s="7"/>
      <c r="N36" s="7"/>
      <c r="O36" s="7"/>
      <c r="P36" s="16">
        <f t="shared" si="1"/>
        <v>4701.5200000000004</v>
      </c>
      <c r="Q36" s="7">
        <v>128.94</v>
      </c>
      <c r="R36" s="7">
        <v>398.59</v>
      </c>
      <c r="S36" s="7">
        <v>11</v>
      </c>
      <c r="T36" s="7">
        <v>159.43</v>
      </c>
      <c r="U36" s="16">
        <f t="shared" si="2"/>
        <v>697.96</v>
      </c>
      <c r="V36" s="16">
        <f t="shared" si="0"/>
        <v>4003.5600000000004</v>
      </c>
    </row>
    <row r="37" spans="1:22" x14ac:dyDescent="0.25">
      <c r="A37" s="6" t="s">
        <v>41</v>
      </c>
      <c r="B37" s="6" t="s">
        <v>74</v>
      </c>
      <c r="C37" s="6" t="s">
        <v>84</v>
      </c>
      <c r="D37" s="16">
        <v>12709.66</v>
      </c>
      <c r="E37" s="7"/>
      <c r="F37" s="7"/>
      <c r="G37" s="7"/>
      <c r="H37" s="7">
        <v>726</v>
      </c>
      <c r="I37" s="7">
        <v>189.2</v>
      </c>
      <c r="J37" s="16">
        <f>1236.08*4</f>
        <v>4944.32</v>
      </c>
      <c r="K37" s="7"/>
      <c r="L37" s="16">
        <f t="shared" si="3"/>
        <v>5859.5199999999995</v>
      </c>
      <c r="M37" s="7"/>
      <c r="N37" s="7"/>
      <c r="O37" s="7"/>
      <c r="P37" s="16">
        <f t="shared" ref="P37:P56" si="4">D37+E37+F37+G37+L37+M37+N37+O37</f>
        <v>18569.18</v>
      </c>
      <c r="Q37" s="7">
        <v>2458.48</v>
      </c>
      <c r="R37" s="7">
        <v>608.44000000000005</v>
      </c>
      <c r="S37" s="7"/>
      <c r="T37" s="7">
        <v>189.2</v>
      </c>
      <c r="U37" s="16">
        <f t="shared" si="2"/>
        <v>3256.12</v>
      </c>
      <c r="V37" s="16">
        <f t="shared" ref="V37:V56" si="5">P37-U37</f>
        <v>15313.060000000001</v>
      </c>
    </row>
    <row r="38" spans="1:22" x14ac:dyDescent="0.25">
      <c r="A38" s="5" t="s">
        <v>106</v>
      </c>
      <c r="B38" s="6" t="s">
        <v>62</v>
      </c>
      <c r="C38" s="6" t="s">
        <v>91</v>
      </c>
      <c r="D38" s="16">
        <v>1348.19</v>
      </c>
      <c r="E38" s="7"/>
      <c r="F38" s="7"/>
      <c r="G38" s="7"/>
      <c r="H38" s="7">
        <v>726</v>
      </c>
      <c r="I38" s="7">
        <v>167.2</v>
      </c>
      <c r="J38" s="16"/>
      <c r="K38" s="7"/>
      <c r="L38" s="16">
        <f t="shared" si="3"/>
        <v>893.2</v>
      </c>
      <c r="M38" s="7"/>
      <c r="N38" s="7"/>
      <c r="O38" s="7"/>
      <c r="P38" s="16">
        <f t="shared" si="4"/>
        <v>2241.3900000000003</v>
      </c>
      <c r="Q38" s="7"/>
      <c r="R38" s="7"/>
      <c r="S38" s="7"/>
      <c r="T38" s="7"/>
      <c r="U38" s="16">
        <f t="shared" si="2"/>
        <v>0</v>
      </c>
      <c r="V38" s="16">
        <f t="shared" si="5"/>
        <v>2241.3900000000003</v>
      </c>
    </row>
    <row r="39" spans="1:22" x14ac:dyDescent="0.25">
      <c r="A39" s="6" t="s">
        <v>43</v>
      </c>
      <c r="B39" s="6" t="s">
        <v>76</v>
      </c>
      <c r="C39" s="6" t="s">
        <v>91</v>
      </c>
      <c r="D39" s="16">
        <v>6995.3</v>
      </c>
      <c r="E39" s="7"/>
      <c r="F39" s="7"/>
      <c r="G39" s="7"/>
      <c r="H39" s="7">
        <v>726</v>
      </c>
      <c r="I39" s="7">
        <v>189.2</v>
      </c>
      <c r="J39" s="16"/>
      <c r="K39" s="7"/>
      <c r="L39" s="16">
        <f t="shared" si="3"/>
        <v>915.2</v>
      </c>
      <c r="M39" s="7"/>
      <c r="N39" s="7"/>
      <c r="O39" s="7"/>
      <c r="P39" s="16">
        <f t="shared" si="4"/>
        <v>7910.5</v>
      </c>
      <c r="Q39" s="7">
        <v>887.03</v>
      </c>
      <c r="R39" s="7">
        <v>608.44000000000005</v>
      </c>
      <c r="S39" s="7"/>
      <c r="T39" s="7">
        <v>189.2</v>
      </c>
      <c r="U39" s="16">
        <f t="shared" si="2"/>
        <v>1684.67</v>
      </c>
      <c r="V39" s="16">
        <f t="shared" si="5"/>
        <v>6225.83</v>
      </c>
    </row>
    <row r="40" spans="1:22" x14ac:dyDescent="0.25">
      <c r="A40" s="6" t="s">
        <v>44</v>
      </c>
      <c r="B40" s="6" t="s">
        <v>70</v>
      </c>
      <c r="C40" s="6" t="s">
        <v>90</v>
      </c>
      <c r="D40" s="16">
        <v>3623.52</v>
      </c>
      <c r="E40" s="7"/>
      <c r="F40" s="7"/>
      <c r="G40" s="7"/>
      <c r="H40" s="7">
        <v>726</v>
      </c>
      <c r="I40" s="7">
        <v>286</v>
      </c>
      <c r="J40" s="16">
        <v>424.17</v>
      </c>
      <c r="K40" s="7"/>
      <c r="L40" s="16">
        <f t="shared" si="3"/>
        <v>1436.17</v>
      </c>
      <c r="M40" s="7"/>
      <c r="N40" s="7"/>
      <c r="O40" s="7"/>
      <c r="P40" s="16">
        <f t="shared" si="4"/>
        <v>5059.6900000000005</v>
      </c>
      <c r="Q40" s="7">
        <v>128.94</v>
      </c>
      <c r="R40" s="7">
        <v>398.59</v>
      </c>
      <c r="S40" s="7">
        <v>11</v>
      </c>
      <c r="T40" s="7">
        <v>159.43</v>
      </c>
      <c r="U40" s="16">
        <f t="shared" si="2"/>
        <v>697.96</v>
      </c>
      <c r="V40" s="16">
        <f t="shared" si="5"/>
        <v>4361.7300000000005</v>
      </c>
    </row>
    <row r="41" spans="1:22" x14ac:dyDescent="0.25">
      <c r="A41" s="5" t="s">
        <v>45</v>
      </c>
      <c r="B41" s="6" t="s">
        <v>58</v>
      </c>
      <c r="C41" s="6" t="s">
        <v>81</v>
      </c>
      <c r="D41" s="16">
        <v>3623.52</v>
      </c>
      <c r="E41" s="7"/>
      <c r="F41" s="7"/>
      <c r="G41" s="7"/>
      <c r="H41" s="7">
        <v>726</v>
      </c>
      <c r="I41" s="7">
        <v>285.2</v>
      </c>
      <c r="J41" s="16">
        <v>238.68</v>
      </c>
      <c r="K41" s="7"/>
      <c r="L41" s="16">
        <f t="shared" si="3"/>
        <v>1249.8800000000001</v>
      </c>
      <c r="M41" s="10"/>
      <c r="N41" s="7"/>
      <c r="O41" s="7"/>
      <c r="P41" s="16">
        <f t="shared" si="4"/>
        <v>4873.3999999999996</v>
      </c>
      <c r="Q41" s="7">
        <v>128.94</v>
      </c>
      <c r="R41" s="7">
        <v>398.59</v>
      </c>
      <c r="S41" s="7">
        <v>36.24</v>
      </c>
      <c r="T41" s="7">
        <v>79.72</v>
      </c>
      <c r="U41" s="16">
        <f t="shared" si="2"/>
        <v>643.49</v>
      </c>
      <c r="V41" s="16">
        <f t="shared" si="5"/>
        <v>4229.91</v>
      </c>
    </row>
    <row r="42" spans="1:22" x14ac:dyDescent="0.25">
      <c r="A42" s="6" t="s">
        <v>46</v>
      </c>
      <c r="B42" s="6" t="s">
        <v>58</v>
      </c>
      <c r="C42" s="6" t="s">
        <v>81</v>
      </c>
      <c r="D42" s="16">
        <v>3623.52</v>
      </c>
      <c r="E42" s="7"/>
      <c r="F42" s="7"/>
      <c r="G42" s="7"/>
      <c r="H42" s="7">
        <v>726</v>
      </c>
      <c r="I42" s="7">
        <v>189.2</v>
      </c>
      <c r="J42" s="16">
        <v>318.41000000000003</v>
      </c>
      <c r="K42" s="7"/>
      <c r="L42" s="16">
        <f t="shared" si="3"/>
        <v>1233.6100000000001</v>
      </c>
      <c r="M42" s="7"/>
      <c r="N42" s="7"/>
      <c r="O42" s="7"/>
      <c r="P42" s="16">
        <f t="shared" si="4"/>
        <v>4857.13</v>
      </c>
      <c r="Q42" s="7">
        <v>128.94</v>
      </c>
      <c r="R42" s="7">
        <v>398.59</v>
      </c>
      <c r="S42" s="7">
        <v>47.24</v>
      </c>
      <c r="T42" s="7">
        <v>159.43</v>
      </c>
      <c r="U42" s="16">
        <f t="shared" si="2"/>
        <v>734.2</v>
      </c>
      <c r="V42" s="16">
        <f t="shared" si="5"/>
        <v>4122.93</v>
      </c>
    </row>
    <row r="43" spans="1:22" x14ac:dyDescent="0.25">
      <c r="A43" s="5" t="s">
        <v>104</v>
      </c>
      <c r="B43" s="6" t="s">
        <v>59</v>
      </c>
      <c r="C43" s="6" t="s">
        <v>89</v>
      </c>
      <c r="D43" s="16">
        <v>3623.52</v>
      </c>
      <c r="E43" s="7"/>
      <c r="F43" s="7"/>
      <c r="G43" s="7"/>
      <c r="H43" s="7">
        <v>726</v>
      </c>
      <c r="I43" s="7">
        <v>352</v>
      </c>
      <c r="J43" s="16"/>
      <c r="K43" s="7"/>
      <c r="L43" s="16">
        <f t="shared" si="3"/>
        <v>1078</v>
      </c>
      <c r="M43" s="7"/>
      <c r="N43" s="7"/>
      <c r="O43" s="7"/>
      <c r="P43" s="16">
        <f t="shared" si="4"/>
        <v>4701.5200000000004</v>
      </c>
      <c r="Q43" s="7">
        <v>128.94</v>
      </c>
      <c r="R43" s="7">
        <v>398.59</v>
      </c>
      <c r="S43" s="7">
        <v>11</v>
      </c>
      <c r="T43" s="7">
        <v>159.43</v>
      </c>
      <c r="U43" s="16">
        <f t="shared" si="2"/>
        <v>697.96</v>
      </c>
      <c r="V43" s="16">
        <f t="shared" si="5"/>
        <v>4003.5600000000004</v>
      </c>
    </row>
    <row r="44" spans="1:22" x14ac:dyDescent="0.25">
      <c r="A44" s="6" t="s">
        <v>112</v>
      </c>
      <c r="B44" s="6" t="s">
        <v>66</v>
      </c>
      <c r="C44" s="6" t="s">
        <v>86</v>
      </c>
      <c r="D44" s="16">
        <v>7458.75</v>
      </c>
      <c r="E44" s="7">
        <v>4696.25</v>
      </c>
      <c r="F44" s="7"/>
      <c r="G44" s="7">
        <f>22.27+3.71</f>
        <v>25.98</v>
      </c>
      <c r="H44" s="7">
        <v>627</v>
      </c>
      <c r="I44" s="7"/>
      <c r="J44" s="16">
        <v>351.3</v>
      </c>
      <c r="K44" s="7">
        <v>260</v>
      </c>
      <c r="L44" s="16">
        <f t="shared" si="3"/>
        <v>1238.3</v>
      </c>
      <c r="M44" s="7">
        <v>1574.08</v>
      </c>
      <c r="N44" s="7"/>
      <c r="O44" s="7"/>
      <c r="P44" s="16">
        <f t="shared" si="4"/>
        <v>14993.359999999999</v>
      </c>
      <c r="Q44" s="7">
        <f>986.78+642.67</f>
        <v>1629.4499999999998</v>
      </c>
      <c r="R44" s="16">
        <f>519.55+608.44</f>
        <v>1127.99</v>
      </c>
      <c r="S44" s="7"/>
      <c r="T44" s="7"/>
      <c r="U44" s="16">
        <f t="shared" si="2"/>
        <v>2757.4399999999996</v>
      </c>
      <c r="V44" s="16">
        <f t="shared" si="5"/>
        <v>12235.919999999998</v>
      </c>
    </row>
    <row r="45" spans="1:22" x14ac:dyDescent="0.25">
      <c r="A45" s="5" t="s">
        <v>47</v>
      </c>
      <c r="B45" s="6" t="s">
        <v>66</v>
      </c>
      <c r="C45" s="6" t="s">
        <v>86</v>
      </c>
      <c r="D45" s="16">
        <v>8287.5</v>
      </c>
      <c r="E45" s="7"/>
      <c r="F45" s="7"/>
      <c r="G45" s="7"/>
      <c r="H45" s="7">
        <v>726</v>
      </c>
      <c r="I45" s="7"/>
      <c r="J45" s="16">
        <v>351.3</v>
      </c>
      <c r="K45" s="7"/>
      <c r="L45" s="16">
        <f t="shared" si="3"/>
        <v>1077.3</v>
      </c>
      <c r="M45" s="7"/>
      <c r="N45" s="7"/>
      <c r="O45" s="7"/>
      <c r="P45" s="16">
        <f t="shared" si="4"/>
        <v>9364.7999999999993</v>
      </c>
      <c r="Q45" s="7">
        <v>1242.3800000000001</v>
      </c>
      <c r="R45" s="7">
        <v>608.44000000000005</v>
      </c>
      <c r="S45" s="7"/>
      <c r="T45" s="7"/>
      <c r="U45" s="16">
        <f t="shared" si="2"/>
        <v>1850.8200000000002</v>
      </c>
      <c r="V45" s="16">
        <f t="shared" si="5"/>
        <v>7513.98</v>
      </c>
    </row>
    <row r="46" spans="1:22" x14ac:dyDescent="0.25">
      <c r="A46" s="5" t="s">
        <v>48</v>
      </c>
      <c r="B46" s="6" t="s">
        <v>66</v>
      </c>
      <c r="C46" s="6" t="s">
        <v>85</v>
      </c>
      <c r="D46" s="16">
        <v>8287.5</v>
      </c>
      <c r="E46" s="7"/>
      <c r="F46" s="7"/>
      <c r="G46" s="7"/>
      <c r="H46" s="7">
        <v>726</v>
      </c>
      <c r="I46" s="7"/>
      <c r="J46" s="16">
        <v>300.93</v>
      </c>
      <c r="K46" s="7"/>
      <c r="L46" s="16">
        <f t="shared" si="3"/>
        <v>1026.93</v>
      </c>
      <c r="M46" s="7"/>
      <c r="N46" s="7"/>
      <c r="O46" s="7"/>
      <c r="P46" s="16">
        <f t="shared" si="4"/>
        <v>9314.43</v>
      </c>
      <c r="Q46" s="7">
        <v>1242.3800000000001</v>
      </c>
      <c r="R46" s="7">
        <v>608.44000000000005</v>
      </c>
      <c r="S46" s="7">
        <v>11</v>
      </c>
      <c r="T46" s="7"/>
      <c r="U46" s="16">
        <f t="shared" si="2"/>
        <v>1861.8200000000002</v>
      </c>
      <c r="V46" s="16">
        <f t="shared" si="5"/>
        <v>7452.6100000000006</v>
      </c>
    </row>
    <row r="47" spans="1:22" x14ac:dyDescent="0.25">
      <c r="A47" s="5" t="s">
        <v>49</v>
      </c>
      <c r="B47" s="6" t="s">
        <v>58</v>
      </c>
      <c r="C47" s="6" t="s">
        <v>81</v>
      </c>
      <c r="D47" s="16">
        <v>3623.52</v>
      </c>
      <c r="E47" s="7"/>
      <c r="F47" s="7"/>
      <c r="G47" s="7"/>
      <c r="H47" s="7">
        <v>726</v>
      </c>
      <c r="I47" s="7">
        <v>530.20000000000005</v>
      </c>
      <c r="J47" s="16">
        <v>363.19</v>
      </c>
      <c r="K47" s="7"/>
      <c r="L47" s="16">
        <f t="shared" si="3"/>
        <v>1619.39</v>
      </c>
      <c r="M47" s="7"/>
      <c r="N47" s="7"/>
      <c r="O47" s="7"/>
      <c r="P47" s="16">
        <f t="shared" si="4"/>
        <v>5242.91</v>
      </c>
      <c r="Q47" s="7">
        <v>72.06</v>
      </c>
      <c r="R47" s="7">
        <v>398.59</v>
      </c>
      <c r="S47" s="7">
        <v>69.239999999999995</v>
      </c>
      <c r="T47" s="7">
        <v>159.43</v>
      </c>
      <c r="U47" s="16">
        <f t="shared" si="2"/>
        <v>699.31999999999994</v>
      </c>
      <c r="V47" s="16">
        <f t="shared" si="5"/>
        <v>4543.59</v>
      </c>
    </row>
    <row r="48" spans="1:22" x14ac:dyDescent="0.25">
      <c r="A48" s="5" t="s">
        <v>50</v>
      </c>
      <c r="B48" s="6" t="s">
        <v>66</v>
      </c>
      <c r="C48" s="6" t="s">
        <v>85</v>
      </c>
      <c r="D48" s="16">
        <v>5248.75</v>
      </c>
      <c r="E48" s="7">
        <v>3038.75</v>
      </c>
      <c r="F48" s="7"/>
      <c r="G48" s="7">
        <f>121.03+20.17</f>
        <v>141.19999999999999</v>
      </c>
      <c r="H48" s="7">
        <v>429</v>
      </c>
      <c r="I48" s="7">
        <v>111.8</v>
      </c>
      <c r="J48" s="22"/>
      <c r="K48" s="7"/>
      <c r="L48" s="16">
        <f t="shared" si="3"/>
        <v>540.79999999999995</v>
      </c>
      <c r="M48" s="7">
        <v>1059.98</v>
      </c>
      <c r="N48" s="7"/>
      <c r="O48" s="7">
        <v>2505.89</v>
      </c>
      <c r="P48" s="16">
        <f t="shared" si="4"/>
        <v>12535.369999999999</v>
      </c>
      <c r="Q48" s="7">
        <f>1224.1+212.92</f>
        <v>1437.02</v>
      </c>
      <c r="R48" s="7">
        <f>142.05+466.39</f>
        <v>608.44000000000005</v>
      </c>
      <c r="S48" s="7"/>
      <c r="T48" s="7">
        <v>111.8</v>
      </c>
      <c r="U48" s="16">
        <f t="shared" si="2"/>
        <v>2157.2600000000002</v>
      </c>
      <c r="V48" s="16">
        <f t="shared" si="5"/>
        <v>10378.109999999999</v>
      </c>
    </row>
    <row r="49" spans="1:22" x14ac:dyDescent="0.25">
      <c r="A49" s="5" t="s">
        <v>51</v>
      </c>
      <c r="B49" s="6" t="s">
        <v>77</v>
      </c>
      <c r="C49" s="6" t="s">
        <v>83</v>
      </c>
      <c r="D49" s="16">
        <v>6995.3</v>
      </c>
      <c r="E49" s="7"/>
      <c r="F49" s="7"/>
      <c r="G49" s="7"/>
      <c r="H49" s="7">
        <v>726</v>
      </c>
      <c r="I49" s="7">
        <v>167.2</v>
      </c>
      <c r="J49" s="26">
        <v>351.3</v>
      </c>
      <c r="K49" s="7"/>
      <c r="L49" s="16">
        <f t="shared" si="3"/>
        <v>1244.5</v>
      </c>
      <c r="M49" s="7"/>
      <c r="N49" s="7"/>
      <c r="O49" s="7"/>
      <c r="P49" s="16">
        <f t="shared" si="4"/>
        <v>8239.7999999999993</v>
      </c>
      <c r="Q49" s="7">
        <v>887.03</v>
      </c>
      <c r="R49" s="7">
        <v>608.44000000000005</v>
      </c>
      <c r="S49" s="7"/>
      <c r="T49" s="7">
        <v>167.2</v>
      </c>
      <c r="U49" s="16">
        <f t="shared" si="2"/>
        <v>1662.67</v>
      </c>
      <c r="V49" s="16">
        <f t="shared" si="5"/>
        <v>6577.1299999999992</v>
      </c>
    </row>
    <row r="50" spans="1:22" x14ac:dyDescent="0.25">
      <c r="A50" s="5" t="s">
        <v>52</v>
      </c>
      <c r="B50" s="6" t="s">
        <v>78</v>
      </c>
      <c r="C50" s="6" t="s">
        <v>82</v>
      </c>
      <c r="D50" s="16">
        <v>9677.56</v>
      </c>
      <c r="E50" s="7"/>
      <c r="F50" s="7"/>
      <c r="G50" s="7"/>
      <c r="H50" s="7">
        <v>726</v>
      </c>
      <c r="I50" s="7">
        <v>189.2</v>
      </c>
      <c r="J50" s="16">
        <v>436.82</v>
      </c>
      <c r="K50" s="7"/>
      <c r="L50" s="16">
        <f t="shared" si="3"/>
        <v>1352.02</v>
      </c>
      <c r="M50" s="7"/>
      <c r="N50" s="7"/>
      <c r="O50" s="7"/>
      <c r="P50" s="16">
        <f t="shared" si="4"/>
        <v>11029.58</v>
      </c>
      <c r="Q50" s="7">
        <v>1624.65</v>
      </c>
      <c r="R50" s="7">
        <v>608.44000000000005</v>
      </c>
      <c r="S50" s="7"/>
      <c r="T50" s="7">
        <v>189.2</v>
      </c>
      <c r="U50" s="16">
        <f t="shared" si="2"/>
        <v>2422.29</v>
      </c>
      <c r="V50" s="16">
        <f t="shared" si="5"/>
        <v>8607.2900000000009</v>
      </c>
    </row>
    <row r="51" spans="1:22" x14ac:dyDescent="0.25">
      <c r="A51" s="6" t="s">
        <v>53</v>
      </c>
      <c r="B51" s="6" t="s">
        <v>73</v>
      </c>
      <c r="C51" s="6" t="s">
        <v>83</v>
      </c>
      <c r="D51" s="16">
        <v>3623.52</v>
      </c>
      <c r="E51" s="7"/>
      <c r="F51" s="7"/>
      <c r="G51" s="7"/>
      <c r="H51" s="7">
        <v>726</v>
      </c>
      <c r="I51" s="7">
        <v>528</v>
      </c>
      <c r="J51" s="22">
        <v>372.32</v>
      </c>
      <c r="K51" s="7"/>
      <c r="L51" s="16">
        <f t="shared" si="3"/>
        <v>1626.32</v>
      </c>
      <c r="M51" s="7"/>
      <c r="N51" s="7"/>
      <c r="O51" s="7"/>
      <c r="P51" s="16">
        <f t="shared" si="4"/>
        <v>5249.84</v>
      </c>
      <c r="Q51" s="7">
        <v>128.94</v>
      </c>
      <c r="R51" s="7">
        <v>398.59</v>
      </c>
      <c r="S51" s="7">
        <v>36.24</v>
      </c>
      <c r="T51" s="7">
        <v>159.43</v>
      </c>
      <c r="U51" s="16">
        <f t="shared" si="2"/>
        <v>723.2</v>
      </c>
      <c r="V51" s="16">
        <f t="shared" si="5"/>
        <v>4526.6400000000003</v>
      </c>
    </row>
    <row r="52" spans="1:22" x14ac:dyDescent="0.25">
      <c r="A52" s="6" t="s">
        <v>54</v>
      </c>
      <c r="B52" s="6" t="s">
        <v>79</v>
      </c>
      <c r="C52" s="6" t="s">
        <v>87</v>
      </c>
      <c r="D52" s="16">
        <v>4197.18</v>
      </c>
      <c r="E52" s="7"/>
      <c r="F52" s="7"/>
      <c r="G52" s="7"/>
      <c r="H52" s="7">
        <v>429</v>
      </c>
      <c r="I52" s="7">
        <v>111.8</v>
      </c>
      <c r="J52" s="26"/>
      <c r="K52" s="7"/>
      <c r="L52" s="16">
        <f t="shared" si="3"/>
        <v>540.79999999999995</v>
      </c>
      <c r="M52" s="7"/>
      <c r="N52" s="7"/>
      <c r="O52" s="7"/>
      <c r="P52" s="16">
        <f t="shared" si="4"/>
        <v>4737.9800000000005</v>
      </c>
      <c r="Q52" s="7">
        <v>263.64999999999998</v>
      </c>
      <c r="R52" s="7">
        <v>198.17</v>
      </c>
      <c r="S52" s="7"/>
      <c r="T52" s="7">
        <v>111.8</v>
      </c>
      <c r="U52" s="16">
        <f t="shared" si="2"/>
        <v>573.61999999999989</v>
      </c>
      <c r="V52" s="16">
        <f t="shared" si="5"/>
        <v>4164.3600000000006</v>
      </c>
    </row>
    <row r="53" spans="1:22" x14ac:dyDescent="0.25">
      <c r="A53" s="5" t="s">
        <v>111</v>
      </c>
      <c r="B53" s="6" t="s">
        <v>62</v>
      </c>
      <c r="C53" s="6" t="s">
        <v>85</v>
      </c>
      <c r="D53" s="16">
        <v>1348.19</v>
      </c>
      <c r="E53" s="7"/>
      <c r="F53" s="7"/>
      <c r="G53" s="7"/>
      <c r="H53" s="7">
        <v>726</v>
      </c>
      <c r="I53" s="7">
        <v>352</v>
      </c>
      <c r="J53" s="22"/>
      <c r="K53" s="7"/>
      <c r="L53" s="16">
        <f t="shared" si="3"/>
        <v>1078</v>
      </c>
      <c r="M53" s="7"/>
      <c r="N53" s="7"/>
      <c r="O53" s="7"/>
      <c r="P53" s="16">
        <f t="shared" si="4"/>
        <v>2426.19</v>
      </c>
      <c r="Q53" s="7"/>
      <c r="R53" s="7"/>
      <c r="S53" s="7"/>
      <c r="T53" s="7"/>
      <c r="U53" s="16">
        <f t="shared" si="2"/>
        <v>0</v>
      </c>
      <c r="V53" s="16">
        <f t="shared" si="5"/>
        <v>2426.19</v>
      </c>
    </row>
    <row r="54" spans="1:22" x14ac:dyDescent="0.25">
      <c r="A54" s="5" t="s">
        <v>128</v>
      </c>
      <c r="B54" s="6" t="s">
        <v>58</v>
      </c>
      <c r="C54" s="6" t="s">
        <v>85</v>
      </c>
      <c r="D54" s="16">
        <v>2053.33</v>
      </c>
      <c r="E54" s="7"/>
      <c r="F54" s="7"/>
      <c r="G54" s="7"/>
      <c r="H54" s="7">
        <v>726</v>
      </c>
      <c r="I54" s="7"/>
      <c r="J54" s="22">
        <v>331.62</v>
      </c>
      <c r="K54" s="7"/>
      <c r="L54" s="16">
        <f t="shared" si="3"/>
        <v>1057.6199999999999</v>
      </c>
      <c r="M54" s="7"/>
      <c r="N54" s="7"/>
      <c r="O54" s="7"/>
      <c r="P54" s="16">
        <f t="shared" si="4"/>
        <v>3110.95</v>
      </c>
      <c r="Q54" s="7"/>
      <c r="R54" s="7">
        <v>184.8</v>
      </c>
      <c r="S54" s="7">
        <f>11+20.53</f>
        <v>31.53</v>
      </c>
      <c r="T54" s="7"/>
      <c r="U54" s="16">
        <f t="shared" si="2"/>
        <v>216.33</v>
      </c>
      <c r="V54" s="16">
        <f t="shared" si="5"/>
        <v>2894.62</v>
      </c>
    </row>
    <row r="55" spans="1:22" x14ac:dyDescent="0.25">
      <c r="A55" s="6" t="s">
        <v>56</v>
      </c>
      <c r="B55" s="6" t="s">
        <v>80</v>
      </c>
      <c r="C55" s="6" t="s">
        <v>89</v>
      </c>
      <c r="D55" s="16">
        <v>3031.3</v>
      </c>
      <c r="E55" s="7">
        <v>4663.53</v>
      </c>
      <c r="F55" s="7"/>
      <c r="G55" s="7">
        <f>4.22+0.7</f>
        <v>4.92</v>
      </c>
      <c r="H55" s="7">
        <v>297</v>
      </c>
      <c r="I55" s="7"/>
      <c r="J55" s="22"/>
      <c r="K55" s="7"/>
      <c r="L55" s="16">
        <f t="shared" si="3"/>
        <v>297</v>
      </c>
      <c r="M55" s="7">
        <v>1556.15</v>
      </c>
      <c r="N55" s="7"/>
      <c r="O55" s="7">
        <v>2095.27</v>
      </c>
      <c r="P55" s="16">
        <f t="shared" si="4"/>
        <v>11648.17</v>
      </c>
      <c r="Q55" s="7">
        <f>533.18+675.08</f>
        <v>1208.26</v>
      </c>
      <c r="R55" s="7">
        <f>26.44+608.44</f>
        <v>634.88000000000011</v>
      </c>
      <c r="S55" s="7"/>
      <c r="T55" s="7"/>
      <c r="U55" s="16">
        <f t="shared" si="2"/>
        <v>1843.14</v>
      </c>
      <c r="V55" s="16">
        <f t="shared" si="5"/>
        <v>9805.0300000000007</v>
      </c>
    </row>
    <row r="56" spans="1:22" x14ac:dyDescent="0.25">
      <c r="A56" s="6" t="s">
        <v>57</v>
      </c>
      <c r="B56" s="6" t="s">
        <v>62</v>
      </c>
      <c r="C56" s="6" t="s">
        <v>91</v>
      </c>
      <c r="D56" s="7">
        <v>1348.19</v>
      </c>
      <c r="E56" s="7"/>
      <c r="F56" s="7"/>
      <c r="G56" s="7"/>
      <c r="H56" s="16">
        <v>726</v>
      </c>
      <c r="I56" s="7">
        <v>352</v>
      </c>
      <c r="J56" s="22"/>
      <c r="K56" s="7"/>
      <c r="L56" s="16">
        <f t="shared" si="3"/>
        <v>1078</v>
      </c>
      <c r="M56" s="16"/>
      <c r="N56" s="7"/>
      <c r="O56" s="7"/>
      <c r="P56" s="7">
        <f t="shared" si="4"/>
        <v>2426.19</v>
      </c>
      <c r="Q56" s="7"/>
      <c r="R56" s="16"/>
      <c r="S56" s="16"/>
      <c r="T56" s="16"/>
      <c r="U56" s="16">
        <f t="shared" si="2"/>
        <v>0</v>
      </c>
      <c r="V56" s="7">
        <f t="shared" si="5"/>
        <v>2426.19</v>
      </c>
    </row>
    <row r="57" spans="1:22" x14ac:dyDescent="0.25">
      <c r="H57" s="1">
        <f>SUM(H5:H56)</f>
        <v>31746</v>
      </c>
      <c r="I57" s="1">
        <f>SUM(I5:I56)</f>
        <v>11141.220000000001</v>
      </c>
      <c r="J57" s="1">
        <f>SUM(J5:J56)</f>
        <v>14336.89</v>
      </c>
      <c r="K57" s="1"/>
      <c r="L57" s="1"/>
      <c r="P57" s="3"/>
      <c r="V57" s="1">
        <f>SUM(V5:V56)</f>
        <v>312011.09000000003</v>
      </c>
    </row>
    <row r="58" spans="1:22" x14ac:dyDescent="0.25">
      <c r="H58" s="1"/>
      <c r="I58" s="1"/>
      <c r="J58" s="1"/>
      <c r="K58" s="1"/>
      <c r="L58" s="1"/>
      <c r="P58" s="3"/>
      <c r="V58" s="1"/>
    </row>
    <row r="59" spans="1:22" x14ac:dyDescent="0.25">
      <c r="P59" s="3"/>
    </row>
    <row r="60" spans="1:22" ht="19.5" x14ac:dyDescent="0.3">
      <c r="A60" s="17" t="s">
        <v>95</v>
      </c>
      <c r="P60" s="3"/>
    </row>
    <row r="61" spans="1:22" ht="19.5" x14ac:dyDescent="0.25">
      <c r="A61" s="20" t="s">
        <v>0</v>
      </c>
      <c r="B61" s="21" t="s">
        <v>1</v>
      </c>
      <c r="C61" s="21" t="s">
        <v>2</v>
      </c>
      <c r="D61" s="21" t="s">
        <v>98</v>
      </c>
      <c r="E61" s="21" t="s">
        <v>97</v>
      </c>
      <c r="F61" s="21" t="s">
        <v>10</v>
      </c>
      <c r="G61" s="20" t="s">
        <v>11</v>
      </c>
      <c r="H61" s="18"/>
      <c r="I61" s="18"/>
      <c r="J61" s="18"/>
      <c r="K61" s="18"/>
      <c r="L61" s="21" t="s">
        <v>96</v>
      </c>
      <c r="M61" s="19"/>
      <c r="N61" s="19"/>
      <c r="O61" s="19"/>
      <c r="P61" s="19"/>
      <c r="Q61" s="19"/>
      <c r="R61" s="19"/>
      <c r="S61" s="19"/>
      <c r="T61" s="19"/>
    </row>
    <row r="62" spans="1:22" x14ac:dyDescent="0.25">
      <c r="A62" s="8" t="s">
        <v>18</v>
      </c>
      <c r="B62" s="9" t="s">
        <v>60</v>
      </c>
      <c r="C62" s="9" t="s">
        <v>83</v>
      </c>
      <c r="D62" s="16">
        <v>6354.83</v>
      </c>
      <c r="P62" s="3"/>
    </row>
    <row r="63" spans="1:22" x14ac:dyDescent="0.25">
      <c r="A63" s="5" t="s">
        <v>26</v>
      </c>
      <c r="B63" s="6" t="s">
        <v>58</v>
      </c>
      <c r="C63" s="6" t="s">
        <v>81</v>
      </c>
      <c r="D63" s="16">
        <v>1828.47</v>
      </c>
      <c r="P63" s="3"/>
    </row>
    <row r="64" spans="1:22" x14ac:dyDescent="0.25">
      <c r="A64" s="5" t="s">
        <v>27</v>
      </c>
      <c r="B64" s="6" t="s">
        <v>66</v>
      </c>
      <c r="C64" s="6" t="s">
        <v>86</v>
      </c>
      <c r="D64" s="16">
        <v>4175.0200000000004</v>
      </c>
      <c r="P64" s="3"/>
    </row>
    <row r="65" spans="1:16" x14ac:dyDescent="0.25">
      <c r="A65" s="5" t="s">
        <v>28</v>
      </c>
      <c r="B65" s="6" t="s">
        <v>67</v>
      </c>
      <c r="C65" s="6" t="s">
        <v>85</v>
      </c>
      <c r="D65" s="16">
        <v>4143.75</v>
      </c>
      <c r="P65" s="3"/>
    </row>
    <row r="66" spans="1:16" x14ac:dyDescent="0.25">
      <c r="A66" s="6" t="s">
        <v>56</v>
      </c>
      <c r="B66" s="6" t="s">
        <v>80</v>
      </c>
      <c r="C66" s="6" t="s">
        <v>89</v>
      </c>
      <c r="D66" s="16">
        <v>3867.98</v>
      </c>
      <c r="P66" s="3"/>
    </row>
    <row r="67" spans="1:16" x14ac:dyDescent="0.25">
      <c r="P67" s="3"/>
    </row>
    <row r="68" spans="1:16" x14ac:dyDescent="0.25">
      <c r="P68" s="3"/>
    </row>
    <row r="69" spans="1:16" x14ac:dyDescent="0.25">
      <c r="P69" s="3"/>
    </row>
    <row r="70" spans="1:16" x14ac:dyDescent="0.25">
      <c r="P70" s="3"/>
    </row>
    <row r="71" spans="1:16" x14ac:dyDescent="0.25">
      <c r="P71" s="3"/>
    </row>
    <row r="72" spans="1:16" x14ac:dyDescent="0.25">
      <c r="P72" s="3"/>
    </row>
    <row r="73" spans="1:16" x14ac:dyDescent="0.25">
      <c r="P73" s="3"/>
    </row>
    <row r="74" spans="1:16" x14ac:dyDescent="0.25">
      <c r="P74" s="3"/>
    </row>
    <row r="75" spans="1:16" x14ac:dyDescent="0.25">
      <c r="P75" s="3"/>
    </row>
    <row r="76" spans="1:16" x14ac:dyDescent="0.25">
      <c r="P76" s="3"/>
    </row>
    <row r="77" spans="1:16" x14ac:dyDescent="0.25">
      <c r="P77" s="3"/>
    </row>
    <row r="78" spans="1:16" x14ac:dyDescent="0.25">
      <c r="P78" s="3"/>
    </row>
    <row r="79" spans="1:16" x14ac:dyDescent="0.25">
      <c r="P79" s="3"/>
    </row>
    <row r="80" spans="1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  <row r="120" spans="16:16" x14ac:dyDescent="0.25">
      <c r="P120" s="3"/>
    </row>
  </sheetData>
  <autoFilter ref="A4:V66"/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3" sqref="G23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2" width="22" style="2" customWidth="1"/>
    <col min="13" max="13" width="19.7109375" style="2" customWidth="1"/>
    <col min="14" max="14" width="22.140625" style="2" customWidth="1"/>
    <col min="15" max="15" width="16.28515625" style="2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4" t="s">
        <v>123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92</v>
      </c>
      <c r="U4" s="20" t="s">
        <v>13</v>
      </c>
      <c r="V4" s="21" t="s">
        <v>14</v>
      </c>
    </row>
    <row r="5" spans="1:22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693</v>
      </c>
      <c r="I5" s="7">
        <v>546</v>
      </c>
      <c r="J5" s="22">
        <v>424.17</v>
      </c>
      <c r="K5" s="7"/>
      <c r="L5" s="16">
        <f t="shared" ref="L5:L54" si="0">H5+I5+K5+J5</f>
        <v>1663.17</v>
      </c>
      <c r="M5" s="7"/>
      <c r="N5" s="7"/>
      <c r="O5" s="7"/>
      <c r="P5" s="16">
        <f t="shared" ref="P5:P54" si="1">D5+E5+F5+G5+L5+M5+N5+O5</f>
        <v>5286.6900000000005</v>
      </c>
      <c r="Q5" s="7">
        <v>128.94</v>
      </c>
      <c r="R5" s="7">
        <v>398.59</v>
      </c>
      <c r="S5" s="7">
        <f>11+36.24</f>
        <v>47.24</v>
      </c>
      <c r="T5" s="7">
        <v>152.19</v>
      </c>
      <c r="U5" s="16">
        <f t="shared" ref="U5:U54" si="2">Q5+R5+S5+T5</f>
        <v>726.96</v>
      </c>
      <c r="V5" s="16">
        <f t="shared" ref="V5:V54" si="3">P5-U5</f>
        <v>4559.7300000000005</v>
      </c>
    </row>
    <row r="6" spans="1:22" x14ac:dyDescent="0.25">
      <c r="A6" s="5" t="s">
        <v>17</v>
      </c>
      <c r="B6" s="6" t="s">
        <v>59</v>
      </c>
      <c r="C6" s="6" t="s">
        <v>82</v>
      </c>
      <c r="D6" s="16">
        <v>3623.52</v>
      </c>
      <c r="E6" s="7"/>
      <c r="F6" s="7"/>
      <c r="G6" s="7"/>
      <c r="H6" s="7">
        <v>693</v>
      </c>
      <c r="I6" s="7"/>
      <c r="J6" s="16"/>
      <c r="K6" s="7"/>
      <c r="L6" s="16">
        <f t="shared" si="0"/>
        <v>693</v>
      </c>
      <c r="M6" s="7"/>
      <c r="N6" s="7"/>
      <c r="O6" s="7"/>
      <c r="P6" s="16">
        <f t="shared" si="1"/>
        <v>4316.5200000000004</v>
      </c>
      <c r="Q6" s="7">
        <v>71.540000000000006</v>
      </c>
      <c r="R6" s="7">
        <v>398.15</v>
      </c>
      <c r="S6" s="7">
        <v>3.93</v>
      </c>
      <c r="T6" s="7"/>
      <c r="U6" s="16">
        <f t="shared" si="2"/>
        <v>473.62</v>
      </c>
      <c r="V6" s="16">
        <f t="shared" si="3"/>
        <v>3842.9000000000005</v>
      </c>
    </row>
    <row r="7" spans="1:22" x14ac:dyDescent="0.25">
      <c r="A7" s="8" t="s">
        <v>19</v>
      </c>
      <c r="B7" s="9" t="s">
        <v>61</v>
      </c>
      <c r="C7" s="9" t="s">
        <v>84</v>
      </c>
      <c r="D7" s="16">
        <v>3182.53</v>
      </c>
      <c r="E7" s="7">
        <v>2121.69</v>
      </c>
      <c r="F7" s="7"/>
      <c r="G7" s="7"/>
      <c r="H7" s="7">
        <v>396</v>
      </c>
      <c r="I7" s="7">
        <v>91.2</v>
      </c>
      <c r="J7" s="22">
        <v>388.13</v>
      </c>
      <c r="K7" s="7"/>
      <c r="L7" s="16">
        <f t="shared" si="0"/>
        <v>875.32999999999993</v>
      </c>
      <c r="M7" s="7">
        <v>707.23</v>
      </c>
      <c r="N7" s="7"/>
      <c r="O7" s="7"/>
      <c r="P7" s="16">
        <f t="shared" si="1"/>
        <v>6886.7800000000007</v>
      </c>
      <c r="Q7" s="7">
        <f>45.16+17.59</f>
        <v>62.75</v>
      </c>
      <c r="R7" s="7">
        <f>297.26+311.18</f>
        <v>608.44000000000005</v>
      </c>
      <c r="S7" s="7"/>
      <c r="T7" s="7">
        <v>91.2</v>
      </c>
      <c r="U7" s="16">
        <f t="shared" si="2"/>
        <v>762.3900000000001</v>
      </c>
      <c r="V7" s="16">
        <f t="shared" si="3"/>
        <v>6124.39</v>
      </c>
    </row>
    <row r="8" spans="1:22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693</v>
      </c>
      <c r="I8" s="7">
        <v>340.2</v>
      </c>
      <c r="J8" s="22">
        <v>322.35000000000002</v>
      </c>
      <c r="K8" s="7"/>
      <c r="L8" s="16">
        <f t="shared" si="0"/>
        <v>1355.5500000000002</v>
      </c>
      <c r="M8" s="7"/>
      <c r="N8" s="7"/>
      <c r="O8" s="7"/>
      <c r="P8" s="16">
        <f t="shared" si="1"/>
        <v>4979.07</v>
      </c>
      <c r="Q8" s="7">
        <v>100.5</v>
      </c>
      <c r="R8" s="7">
        <v>398.59</v>
      </c>
      <c r="S8" s="7">
        <v>58.24</v>
      </c>
      <c r="T8" s="7">
        <v>152.19</v>
      </c>
      <c r="U8" s="16">
        <f t="shared" si="2"/>
        <v>709.52</v>
      </c>
      <c r="V8" s="16">
        <f t="shared" si="3"/>
        <v>4269.5499999999993</v>
      </c>
    </row>
    <row r="9" spans="1:22" x14ac:dyDescent="0.25">
      <c r="A9" s="5" t="s">
        <v>105</v>
      </c>
      <c r="B9" s="6" t="s">
        <v>62</v>
      </c>
      <c r="C9" s="6" t="s">
        <v>83</v>
      </c>
      <c r="D9" s="16">
        <v>898.79</v>
      </c>
      <c r="E9" s="7"/>
      <c r="F9" s="7"/>
      <c r="G9" s="7"/>
      <c r="H9" s="7">
        <v>693</v>
      </c>
      <c r="I9" s="7">
        <v>180.6</v>
      </c>
      <c r="J9" s="22"/>
      <c r="K9" s="7"/>
      <c r="L9" s="16">
        <f t="shared" si="0"/>
        <v>873.6</v>
      </c>
      <c r="M9" s="7"/>
      <c r="N9" s="7"/>
      <c r="O9" s="7"/>
      <c r="P9" s="16">
        <f t="shared" si="1"/>
        <v>1772.3899999999999</v>
      </c>
      <c r="Q9" s="7"/>
      <c r="R9" s="7"/>
      <c r="S9" s="7"/>
      <c r="T9" s="7"/>
      <c r="U9" s="16">
        <f t="shared" si="2"/>
        <v>0</v>
      </c>
      <c r="V9" s="16">
        <f t="shared" si="3"/>
        <v>1772.3899999999999</v>
      </c>
    </row>
    <row r="10" spans="1:22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693</v>
      </c>
      <c r="I10" s="7">
        <v>159.6</v>
      </c>
      <c r="J10" s="22"/>
      <c r="K10" s="7"/>
      <c r="L10" s="16">
        <f t="shared" si="0"/>
        <v>852.6</v>
      </c>
      <c r="M10" s="7"/>
      <c r="N10" s="7"/>
      <c r="O10" s="7"/>
      <c r="P10" s="16">
        <f t="shared" si="1"/>
        <v>4476.12</v>
      </c>
      <c r="Q10" s="7">
        <v>128.94</v>
      </c>
      <c r="R10" s="7">
        <v>398.59</v>
      </c>
      <c r="S10" s="7">
        <v>36.24</v>
      </c>
      <c r="T10" s="7">
        <v>152.19</v>
      </c>
      <c r="U10" s="16">
        <f t="shared" si="2"/>
        <v>715.96</v>
      </c>
      <c r="V10" s="16">
        <f t="shared" si="3"/>
        <v>3760.16</v>
      </c>
    </row>
    <row r="11" spans="1:22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693</v>
      </c>
      <c r="I11" s="7"/>
      <c r="J11" s="22">
        <v>302.85000000000002</v>
      </c>
      <c r="K11" s="7"/>
      <c r="L11" s="16">
        <f t="shared" si="0"/>
        <v>995.85</v>
      </c>
      <c r="M11" s="10"/>
      <c r="N11" s="7"/>
      <c r="O11" s="7"/>
      <c r="P11" s="16">
        <f t="shared" si="1"/>
        <v>10673.41</v>
      </c>
      <c r="Q11" s="7">
        <v>1624.65</v>
      </c>
      <c r="R11" s="7">
        <v>608.44000000000005</v>
      </c>
      <c r="S11" s="7"/>
      <c r="T11" s="7"/>
      <c r="U11" s="16">
        <f t="shared" si="2"/>
        <v>2233.09</v>
      </c>
      <c r="V11" s="16">
        <f t="shared" si="3"/>
        <v>8440.32</v>
      </c>
    </row>
    <row r="12" spans="1:22" x14ac:dyDescent="0.25">
      <c r="A12" s="6" t="s">
        <v>24</v>
      </c>
      <c r="B12" s="6" t="s">
        <v>58</v>
      </c>
      <c r="C12" s="6" t="s">
        <v>85</v>
      </c>
      <c r="D12" s="16">
        <v>362.35</v>
      </c>
      <c r="E12" s="7"/>
      <c r="F12" s="7"/>
      <c r="G12" s="7"/>
      <c r="H12" s="7">
        <v>99</v>
      </c>
      <c r="I12" s="7">
        <v>48.6</v>
      </c>
      <c r="J12" s="22"/>
      <c r="K12" s="7"/>
      <c r="L12" s="16">
        <f t="shared" si="0"/>
        <v>147.6</v>
      </c>
      <c r="M12" s="7"/>
      <c r="N12" s="7"/>
      <c r="O12" s="7"/>
      <c r="P12" s="16">
        <f t="shared" si="1"/>
        <v>509.95000000000005</v>
      </c>
      <c r="Q12" s="7"/>
      <c r="R12" s="7">
        <v>39.86</v>
      </c>
      <c r="S12" s="7"/>
      <c r="T12" s="7">
        <v>21.74</v>
      </c>
      <c r="U12" s="16">
        <f t="shared" si="2"/>
        <v>61.599999999999994</v>
      </c>
      <c r="V12" s="16">
        <f t="shared" si="3"/>
        <v>448.35</v>
      </c>
    </row>
    <row r="13" spans="1:22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462</v>
      </c>
      <c r="I13" s="7">
        <v>120.4</v>
      </c>
      <c r="J13" s="22"/>
      <c r="K13" s="7"/>
      <c r="L13" s="16">
        <f t="shared" si="0"/>
        <v>582.4</v>
      </c>
      <c r="M13" s="7"/>
      <c r="N13" s="7"/>
      <c r="O13" s="7"/>
      <c r="P13" s="16">
        <f t="shared" si="1"/>
        <v>10259.959999999999</v>
      </c>
      <c r="Q13" s="7">
        <v>1624.65</v>
      </c>
      <c r="R13" s="7">
        <v>608.44000000000005</v>
      </c>
      <c r="S13" s="7"/>
      <c r="T13" s="7">
        <v>120.4</v>
      </c>
      <c r="U13" s="16">
        <f t="shared" si="2"/>
        <v>2353.4900000000002</v>
      </c>
      <c r="V13" s="16">
        <f t="shared" si="3"/>
        <v>7906.4699999999993</v>
      </c>
    </row>
    <row r="14" spans="1:22" x14ac:dyDescent="0.25">
      <c r="A14" s="5" t="s">
        <v>103</v>
      </c>
      <c r="B14" s="6" t="s">
        <v>62</v>
      </c>
      <c r="C14" s="6" t="s">
        <v>89</v>
      </c>
      <c r="D14" s="16">
        <v>898.79</v>
      </c>
      <c r="E14" s="7"/>
      <c r="F14" s="7"/>
      <c r="G14" s="7"/>
      <c r="H14" s="7">
        <v>693</v>
      </c>
      <c r="I14" s="7">
        <v>336</v>
      </c>
      <c r="J14" s="22"/>
      <c r="K14" s="7"/>
      <c r="L14" s="16">
        <f t="shared" si="0"/>
        <v>1029</v>
      </c>
      <c r="M14" s="7"/>
      <c r="N14" s="7"/>
      <c r="O14" s="7"/>
      <c r="P14" s="16">
        <f t="shared" si="1"/>
        <v>1927.79</v>
      </c>
      <c r="Q14" s="7"/>
      <c r="R14" s="7"/>
      <c r="S14" s="7"/>
      <c r="T14" s="7"/>
      <c r="U14" s="16">
        <f t="shared" si="2"/>
        <v>0</v>
      </c>
      <c r="V14" s="16">
        <f t="shared" si="3"/>
        <v>1927.79</v>
      </c>
    </row>
    <row r="15" spans="1:22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/>
      <c r="I15" s="7"/>
      <c r="J15" s="22">
        <v>840.79</v>
      </c>
      <c r="K15" s="7"/>
      <c r="L15" s="16">
        <v>1682.11</v>
      </c>
      <c r="M15" s="7"/>
      <c r="N15" s="7"/>
      <c r="O15" s="7"/>
      <c r="P15" s="16">
        <f>J15+L15</f>
        <v>2522.8999999999996</v>
      </c>
      <c r="Q15" s="7"/>
      <c r="R15" s="7"/>
      <c r="S15" s="7"/>
      <c r="T15" s="7"/>
      <c r="U15" s="16">
        <f t="shared" si="2"/>
        <v>0</v>
      </c>
      <c r="V15" s="16">
        <f t="shared" si="3"/>
        <v>2522.8999999999996</v>
      </c>
    </row>
    <row r="16" spans="1:22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>
        <f>38.5+6.42</f>
        <v>44.92</v>
      </c>
      <c r="H16" s="7">
        <v>693</v>
      </c>
      <c r="I16" s="7">
        <v>340.2</v>
      </c>
      <c r="J16" s="22">
        <v>326.51</v>
      </c>
      <c r="K16" s="7"/>
      <c r="L16" s="16">
        <f t="shared" si="0"/>
        <v>1359.71</v>
      </c>
      <c r="M16" s="7"/>
      <c r="N16" s="7"/>
      <c r="O16" s="7"/>
      <c r="P16" s="16">
        <f t="shared" si="1"/>
        <v>5028.1499999999996</v>
      </c>
      <c r="Q16" s="7">
        <v>135.68</v>
      </c>
      <c r="R16" s="7">
        <v>398.59</v>
      </c>
      <c r="S16" s="7">
        <f>11+36.24</f>
        <v>47.24</v>
      </c>
      <c r="T16" s="7">
        <v>152.19</v>
      </c>
      <c r="U16" s="16">
        <f t="shared" si="2"/>
        <v>733.7</v>
      </c>
      <c r="V16" s="16">
        <f t="shared" si="3"/>
        <v>4294.45</v>
      </c>
    </row>
    <row r="17" spans="1:22" x14ac:dyDescent="0.25">
      <c r="A17" s="5" t="s">
        <v>27</v>
      </c>
      <c r="B17" s="6" t="s">
        <v>66</v>
      </c>
      <c r="C17" s="6" t="s">
        <v>86</v>
      </c>
      <c r="D17" s="16">
        <v>8287.5</v>
      </c>
      <c r="E17" s="7"/>
      <c r="F17" s="7"/>
      <c r="G17" s="7">
        <f>105.67+17.61</f>
        <v>123.28</v>
      </c>
      <c r="H17" s="7">
        <v>693</v>
      </c>
      <c r="I17" s="7">
        <v>180.6</v>
      </c>
      <c r="J17" s="22"/>
      <c r="K17" s="7"/>
      <c r="L17" s="16">
        <f t="shared" si="0"/>
        <v>873.6</v>
      </c>
      <c r="M17" s="7"/>
      <c r="N17" s="7"/>
      <c r="O17" s="7"/>
      <c r="P17" s="16">
        <f t="shared" si="1"/>
        <v>9284.380000000001</v>
      </c>
      <c r="Q17" s="7">
        <v>1270.02</v>
      </c>
      <c r="R17" s="7">
        <v>608.44000000000005</v>
      </c>
      <c r="S17" s="7">
        <v>22.79</v>
      </c>
      <c r="T17" s="7">
        <v>180.6</v>
      </c>
      <c r="U17" s="16">
        <f t="shared" si="2"/>
        <v>2081.85</v>
      </c>
      <c r="V17" s="16">
        <f t="shared" si="3"/>
        <v>7202.5300000000007</v>
      </c>
    </row>
    <row r="18" spans="1:22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/>
      <c r="H18" s="7">
        <v>693</v>
      </c>
      <c r="I18" s="7"/>
      <c r="J18" s="22"/>
      <c r="K18" s="7"/>
      <c r="L18" s="16">
        <f t="shared" si="0"/>
        <v>693</v>
      </c>
      <c r="M18" s="7"/>
      <c r="N18" s="7"/>
      <c r="O18" s="7"/>
      <c r="P18" s="16">
        <f t="shared" si="1"/>
        <v>8980.5</v>
      </c>
      <c r="Q18" s="7">
        <v>1242.3800000000001</v>
      </c>
      <c r="R18" s="7">
        <v>608.44000000000005</v>
      </c>
      <c r="S18" s="7">
        <v>22</v>
      </c>
      <c r="T18" s="7"/>
      <c r="U18" s="16">
        <f t="shared" si="2"/>
        <v>1872.8200000000002</v>
      </c>
      <c r="V18" s="16">
        <f t="shared" si="3"/>
        <v>7107.68</v>
      </c>
    </row>
    <row r="19" spans="1:22" x14ac:dyDescent="0.25">
      <c r="A19" s="5" t="s">
        <v>117</v>
      </c>
      <c r="B19" s="6" t="s">
        <v>58</v>
      </c>
      <c r="C19" s="6" t="s">
        <v>81</v>
      </c>
      <c r="D19" s="16">
        <v>3623.52</v>
      </c>
      <c r="E19" s="7"/>
      <c r="F19" s="7"/>
      <c r="G19" s="7">
        <f>54.35+9.06</f>
        <v>63.410000000000004</v>
      </c>
      <c r="H19" s="7">
        <v>693</v>
      </c>
      <c r="I19" s="7">
        <v>340.2</v>
      </c>
      <c r="J19" s="22"/>
      <c r="K19" s="7"/>
      <c r="L19" s="16">
        <f t="shared" si="0"/>
        <v>1033.2</v>
      </c>
      <c r="M19" s="10"/>
      <c r="N19" s="7"/>
      <c r="O19" s="7"/>
      <c r="P19" s="16">
        <f t="shared" si="1"/>
        <v>4720.13</v>
      </c>
      <c r="Q19" s="7">
        <v>138.44999999999999</v>
      </c>
      <c r="R19" s="7">
        <v>398.59</v>
      </c>
      <c r="S19" s="7">
        <v>36.24</v>
      </c>
      <c r="T19" s="7">
        <v>152.19</v>
      </c>
      <c r="U19" s="16">
        <f t="shared" si="2"/>
        <v>725.47</v>
      </c>
      <c r="V19" s="16">
        <f t="shared" si="3"/>
        <v>3994.66</v>
      </c>
    </row>
    <row r="20" spans="1:22" x14ac:dyDescent="0.25">
      <c r="A20" s="5" t="s">
        <v>29</v>
      </c>
      <c r="B20" s="6" t="s">
        <v>60</v>
      </c>
      <c r="C20" s="6" t="s">
        <v>83</v>
      </c>
      <c r="D20" s="16">
        <v>12709.66</v>
      </c>
      <c r="E20" s="7"/>
      <c r="F20" s="7"/>
      <c r="G20" s="7"/>
      <c r="H20" s="7">
        <v>693</v>
      </c>
      <c r="I20" s="7"/>
      <c r="J20" s="22">
        <v>483.98</v>
      </c>
      <c r="K20" s="7"/>
      <c r="L20" s="16">
        <f t="shared" si="0"/>
        <v>1176.98</v>
      </c>
      <c r="M20" s="7"/>
      <c r="N20" s="7"/>
      <c r="O20" s="7"/>
      <c r="P20" s="16">
        <f t="shared" si="1"/>
        <v>13886.64</v>
      </c>
      <c r="Q20" s="7">
        <v>2458.48</v>
      </c>
      <c r="R20" s="7">
        <v>608.44000000000005</v>
      </c>
      <c r="S20" s="7"/>
      <c r="T20" s="7"/>
      <c r="U20" s="16">
        <f t="shared" si="2"/>
        <v>3066.92</v>
      </c>
      <c r="V20" s="16">
        <f t="shared" si="3"/>
        <v>10819.72</v>
      </c>
    </row>
    <row r="21" spans="1:22" x14ac:dyDescent="0.25">
      <c r="A21" s="5" t="s">
        <v>126</v>
      </c>
      <c r="B21" s="6" t="s">
        <v>62</v>
      </c>
      <c r="C21" s="6" t="s">
        <v>89</v>
      </c>
      <c r="D21" s="16">
        <v>898.79</v>
      </c>
      <c r="E21" s="7"/>
      <c r="F21" s="7"/>
      <c r="G21" s="7"/>
      <c r="H21" s="7">
        <v>693</v>
      </c>
      <c r="I21" s="7"/>
      <c r="J21" s="22"/>
      <c r="K21" s="7"/>
      <c r="L21" s="16">
        <f t="shared" si="0"/>
        <v>693</v>
      </c>
      <c r="M21" s="7"/>
      <c r="N21" s="7"/>
      <c r="O21" s="7"/>
      <c r="P21" s="16">
        <f t="shared" si="1"/>
        <v>1591.79</v>
      </c>
      <c r="Q21" s="7"/>
      <c r="R21" s="7"/>
      <c r="S21" s="7"/>
      <c r="T21" s="7"/>
      <c r="U21" s="16">
        <f t="shared" si="2"/>
        <v>0</v>
      </c>
      <c r="V21" s="16">
        <f t="shared" si="3"/>
        <v>1591.79</v>
      </c>
    </row>
    <row r="22" spans="1:22" x14ac:dyDescent="0.25">
      <c r="A22" s="5" t="s">
        <v>32</v>
      </c>
      <c r="B22" s="6" t="s">
        <v>70</v>
      </c>
      <c r="C22" s="6" t="s">
        <v>90</v>
      </c>
      <c r="D22" s="16">
        <v>3623.52</v>
      </c>
      <c r="E22" s="7">
        <v>2294.9</v>
      </c>
      <c r="F22" s="7"/>
      <c r="G22" s="7">
        <f>326.12+258.18+97.38</f>
        <v>681.68</v>
      </c>
      <c r="H22" s="7">
        <v>693</v>
      </c>
      <c r="I22" s="7"/>
      <c r="J22" s="22">
        <v>654.52</v>
      </c>
      <c r="K22" s="7"/>
      <c r="L22" s="16">
        <f t="shared" si="0"/>
        <v>1347.52</v>
      </c>
      <c r="M22" s="7"/>
      <c r="N22" s="7"/>
      <c r="O22" s="7"/>
      <c r="P22" s="16">
        <f t="shared" si="1"/>
        <v>7947.6200000000008</v>
      </c>
      <c r="Q22" s="7">
        <v>234.79</v>
      </c>
      <c r="R22" s="7">
        <v>434.46</v>
      </c>
      <c r="S22" s="7">
        <v>36.24</v>
      </c>
      <c r="T22" s="7"/>
      <c r="U22" s="16">
        <f t="shared" si="2"/>
        <v>705.49</v>
      </c>
      <c r="V22" s="16">
        <f t="shared" si="3"/>
        <v>7242.130000000001</v>
      </c>
    </row>
    <row r="23" spans="1:22" x14ac:dyDescent="0.25">
      <c r="A23" s="5" t="s">
        <v>33</v>
      </c>
      <c r="B23" s="6" t="s">
        <v>58</v>
      </c>
      <c r="C23" s="6" t="s">
        <v>81</v>
      </c>
      <c r="D23" s="16">
        <v>3019.6</v>
      </c>
      <c r="E23" s="7">
        <v>2294.9</v>
      </c>
      <c r="F23" s="7"/>
      <c r="G23" s="7">
        <f>1.36+24.53+0.23+4.09</f>
        <v>30.21</v>
      </c>
      <c r="H23" s="7">
        <v>528</v>
      </c>
      <c r="I23" s="7"/>
      <c r="J23" s="22">
        <v>318.41000000000003</v>
      </c>
      <c r="K23" s="7"/>
      <c r="L23" s="16">
        <f t="shared" si="0"/>
        <v>846.41000000000008</v>
      </c>
      <c r="M23" s="7">
        <v>775.04</v>
      </c>
      <c r="N23" s="7"/>
      <c r="O23" s="7"/>
      <c r="P23" s="16">
        <f t="shared" si="1"/>
        <v>6966.16</v>
      </c>
      <c r="Q23" s="7">
        <f>56.92+69.59</f>
        <v>126.51</v>
      </c>
      <c r="R23" s="7">
        <f>356.63+270.86</f>
        <v>627.49</v>
      </c>
      <c r="S23" s="7"/>
      <c r="T23" s="7"/>
      <c r="U23" s="16">
        <f t="shared" si="2"/>
        <v>754</v>
      </c>
      <c r="V23" s="16">
        <f t="shared" si="3"/>
        <v>6212.16</v>
      </c>
    </row>
    <row r="24" spans="1:22" x14ac:dyDescent="0.25">
      <c r="A24" s="5" t="s">
        <v>34</v>
      </c>
      <c r="B24" s="6" t="s">
        <v>67</v>
      </c>
      <c r="C24" s="6" t="s">
        <v>85</v>
      </c>
      <c r="D24" s="16">
        <v>8287.5</v>
      </c>
      <c r="E24" s="7"/>
      <c r="F24" s="7"/>
      <c r="G24" s="7"/>
      <c r="H24" s="7">
        <v>693</v>
      </c>
      <c r="I24" s="7"/>
      <c r="J24" s="26">
        <f>424.15*2</f>
        <v>848.3</v>
      </c>
      <c r="K24" s="7"/>
      <c r="L24" s="16">
        <f t="shared" si="0"/>
        <v>1541.3</v>
      </c>
      <c r="M24" s="7"/>
      <c r="N24" s="7"/>
      <c r="O24" s="7"/>
      <c r="P24" s="16">
        <f t="shared" si="1"/>
        <v>9828.7999999999993</v>
      </c>
      <c r="Q24" s="7">
        <v>1242.3800000000001</v>
      </c>
      <c r="R24" s="7">
        <v>608.44000000000005</v>
      </c>
      <c r="S24" s="7"/>
      <c r="T24" s="7"/>
      <c r="U24" s="16">
        <f t="shared" si="2"/>
        <v>1850.8200000000002</v>
      </c>
      <c r="V24" s="16">
        <f t="shared" si="3"/>
        <v>7977.98</v>
      </c>
    </row>
    <row r="25" spans="1:22" x14ac:dyDescent="0.25">
      <c r="A25" s="5" t="s">
        <v>110</v>
      </c>
      <c r="B25" s="6" t="s">
        <v>62</v>
      </c>
      <c r="C25" s="6" t="s">
        <v>93</v>
      </c>
      <c r="D25" s="16">
        <v>898.79</v>
      </c>
      <c r="E25" s="7"/>
      <c r="F25" s="7"/>
      <c r="G25" s="7"/>
      <c r="H25" s="7">
        <v>693</v>
      </c>
      <c r="I25" s="7">
        <v>336</v>
      </c>
      <c r="J25" s="22"/>
      <c r="K25" s="7"/>
      <c r="L25" s="16">
        <f t="shared" si="0"/>
        <v>1029</v>
      </c>
      <c r="M25" s="7"/>
      <c r="N25" s="7"/>
      <c r="O25" s="7"/>
      <c r="P25" s="16">
        <f t="shared" si="1"/>
        <v>1927.79</v>
      </c>
      <c r="Q25" s="7"/>
      <c r="R25" s="7"/>
      <c r="S25" s="7"/>
      <c r="T25" s="7"/>
      <c r="U25" s="16">
        <f t="shared" si="2"/>
        <v>0</v>
      </c>
      <c r="V25" s="16">
        <f t="shared" si="3"/>
        <v>1927.79</v>
      </c>
    </row>
    <row r="26" spans="1:22" x14ac:dyDescent="0.25">
      <c r="A26" s="5" t="s">
        <v>107</v>
      </c>
      <c r="B26" s="15" t="s">
        <v>71</v>
      </c>
      <c r="C26" s="6" t="s">
        <v>87</v>
      </c>
      <c r="D26" s="16">
        <v>6995.3</v>
      </c>
      <c r="E26" s="7"/>
      <c r="F26" s="7"/>
      <c r="G26" s="7"/>
      <c r="H26" s="7"/>
      <c r="I26" s="7">
        <v>180.6</v>
      </c>
      <c r="J26" s="22">
        <v>421.59</v>
      </c>
      <c r="K26" s="7"/>
      <c r="L26" s="16">
        <f t="shared" si="0"/>
        <v>602.18999999999994</v>
      </c>
      <c r="M26" s="7"/>
      <c r="N26" s="7"/>
      <c r="O26" s="7"/>
      <c r="P26" s="16">
        <f t="shared" si="1"/>
        <v>7597.49</v>
      </c>
      <c r="Q26" s="7">
        <v>883.18</v>
      </c>
      <c r="R26" s="7">
        <v>608.44000000000005</v>
      </c>
      <c r="S26" s="7">
        <v>13.99</v>
      </c>
      <c r="T26" s="7">
        <v>180.6</v>
      </c>
      <c r="U26" s="16">
        <f t="shared" si="2"/>
        <v>1686.2099999999998</v>
      </c>
      <c r="V26" s="16">
        <f t="shared" si="3"/>
        <v>5911.28</v>
      </c>
    </row>
    <row r="27" spans="1:22" x14ac:dyDescent="0.25">
      <c r="A27" s="5" t="s">
        <v>126</v>
      </c>
      <c r="B27" s="15" t="s">
        <v>62</v>
      </c>
      <c r="C27" s="6" t="s">
        <v>89</v>
      </c>
      <c r="D27" s="16">
        <v>898.79</v>
      </c>
      <c r="E27" s="7"/>
      <c r="F27" s="7"/>
      <c r="G27" s="7"/>
      <c r="H27" s="7"/>
      <c r="I27" s="7">
        <v>180.6</v>
      </c>
      <c r="J27" s="22"/>
      <c r="K27" s="7"/>
      <c r="L27" s="16"/>
      <c r="M27" s="7"/>
      <c r="N27" s="7"/>
      <c r="O27" s="7"/>
      <c r="P27" s="16">
        <v>898.79</v>
      </c>
      <c r="Q27" s="7"/>
      <c r="R27" s="7"/>
      <c r="S27" s="7"/>
      <c r="T27" s="7"/>
      <c r="U27" s="16"/>
      <c r="V27" s="16">
        <v>898.79</v>
      </c>
    </row>
    <row r="28" spans="1:22" x14ac:dyDescent="0.25">
      <c r="A28" s="11" t="s">
        <v>35</v>
      </c>
      <c r="B28" s="13" t="s">
        <v>59</v>
      </c>
      <c r="C28" s="6" t="s">
        <v>89</v>
      </c>
      <c r="D28" s="16">
        <v>3623.52</v>
      </c>
      <c r="E28" s="7"/>
      <c r="F28" s="7"/>
      <c r="G28" s="7"/>
      <c r="H28" s="7">
        <v>693</v>
      </c>
      <c r="I28" s="7">
        <v>516.6</v>
      </c>
      <c r="J28" s="22"/>
      <c r="K28" s="7"/>
      <c r="L28" s="16">
        <f t="shared" si="0"/>
        <v>1209.5999999999999</v>
      </c>
      <c r="M28" s="7"/>
      <c r="N28" s="7"/>
      <c r="O28" s="7">
        <v>672.28</v>
      </c>
      <c r="P28" s="16">
        <f t="shared" si="1"/>
        <v>5505.4</v>
      </c>
      <c r="Q28" s="7">
        <v>224.1</v>
      </c>
      <c r="R28" s="7">
        <v>472.54</v>
      </c>
      <c r="S28" s="7"/>
      <c r="T28" s="7">
        <v>152.19</v>
      </c>
      <c r="U28" s="16">
        <f t="shared" si="2"/>
        <v>848.82999999999993</v>
      </c>
      <c r="V28" s="16">
        <f t="shared" si="3"/>
        <v>4656.57</v>
      </c>
    </row>
    <row r="29" spans="1:22" x14ac:dyDescent="0.25">
      <c r="A29" s="11" t="s">
        <v>119</v>
      </c>
      <c r="B29" s="13" t="s">
        <v>62</v>
      </c>
      <c r="C29" s="6" t="s">
        <v>86</v>
      </c>
      <c r="D29" s="16">
        <v>569.23</v>
      </c>
      <c r="E29" s="7"/>
      <c r="F29" s="7"/>
      <c r="G29" s="7"/>
      <c r="H29" s="7">
        <v>429</v>
      </c>
      <c r="I29" s="7">
        <v>98.8</v>
      </c>
      <c r="J29" s="22"/>
      <c r="K29" s="7"/>
      <c r="L29" s="16">
        <f t="shared" si="0"/>
        <v>527.79999999999995</v>
      </c>
      <c r="M29" s="7"/>
      <c r="N29" s="7"/>
      <c r="O29" s="7"/>
      <c r="P29" s="16">
        <f>D29</f>
        <v>569.23</v>
      </c>
      <c r="Q29" s="7"/>
      <c r="R29" s="7"/>
      <c r="S29" s="7"/>
      <c r="T29" s="7"/>
      <c r="U29" s="16"/>
      <c r="V29" s="16">
        <f>P29</f>
        <v>569.23</v>
      </c>
    </row>
    <row r="30" spans="1:22" x14ac:dyDescent="0.25">
      <c r="A30" s="11" t="s">
        <v>120</v>
      </c>
      <c r="B30" s="13" t="s">
        <v>74</v>
      </c>
      <c r="C30" s="6" t="s">
        <v>84</v>
      </c>
      <c r="D30" s="16">
        <v>6354.83</v>
      </c>
      <c r="E30" s="7"/>
      <c r="F30" s="7"/>
      <c r="G30" s="7"/>
      <c r="H30" s="7">
        <v>363</v>
      </c>
      <c r="I30" s="7"/>
      <c r="J30" s="22"/>
      <c r="K30" s="7"/>
      <c r="L30" s="16">
        <f t="shared" si="0"/>
        <v>363</v>
      </c>
      <c r="M30" s="7"/>
      <c r="N30" s="7"/>
      <c r="O30" s="7"/>
      <c r="P30" s="16">
        <f>D30+E30+F30+G30+J30+K30+L30+M30+N30+O30</f>
        <v>6717.83</v>
      </c>
      <c r="Q30" s="7">
        <v>710.9</v>
      </c>
      <c r="R30" s="7">
        <v>608.44000000000005</v>
      </c>
      <c r="S30" s="7"/>
      <c r="T30" s="7">
        <v>94.6</v>
      </c>
      <c r="U30" s="16">
        <f>Q30+R30+S30+T30</f>
        <v>1413.94</v>
      </c>
      <c r="V30" s="16">
        <f>P30-U30</f>
        <v>5303.8899999999994</v>
      </c>
    </row>
    <row r="31" spans="1:22" x14ac:dyDescent="0.25">
      <c r="A31" s="5" t="s">
        <v>36</v>
      </c>
      <c r="B31" s="6" t="s">
        <v>67</v>
      </c>
      <c r="C31" s="6" t="s">
        <v>85</v>
      </c>
      <c r="D31" s="16">
        <v>8287.5</v>
      </c>
      <c r="E31" s="7"/>
      <c r="F31" s="7"/>
      <c r="G31" s="7"/>
      <c r="H31" s="7">
        <v>693</v>
      </c>
      <c r="I31" s="7"/>
      <c r="J31" s="22">
        <v>318.41000000000003</v>
      </c>
      <c r="K31" s="7"/>
      <c r="L31" s="16">
        <f t="shared" si="0"/>
        <v>1011.4100000000001</v>
      </c>
      <c r="M31" s="7"/>
      <c r="N31" s="7"/>
      <c r="O31" s="7"/>
      <c r="P31" s="16">
        <f t="shared" si="1"/>
        <v>9298.91</v>
      </c>
      <c r="Q31" s="7">
        <v>1242.3800000000001</v>
      </c>
      <c r="R31" s="7">
        <v>608.44000000000005</v>
      </c>
      <c r="S31" s="7">
        <v>11</v>
      </c>
      <c r="T31" s="7"/>
      <c r="U31" s="16">
        <f t="shared" si="2"/>
        <v>1861.8200000000002</v>
      </c>
      <c r="V31" s="16">
        <f t="shared" si="3"/>
        <v>7437.09</v>
      </c>
    </row>
    <row r="32" spans="1:22" x14ac:dyDescent="0.25">
      <c r="A32" s="5" t="s">
        <v>37</v>
      </c>
      <c r="B32" s="6" t="s">
        <v>66</v>
      </c>
      <c r="C32" s="6" t="s">
        <v>86</v>
      </c>
      <c r="D32" s="16">
        <v>8287.5</v>
      </c>
      <c r="E32" s="10"/>
      <c r="F32" s="7"/>
      <c r="G32" s="7"/>
      <c r="H32" s="7">
        <v>693</v>
      </c>
      <c r="I32" s="7">
        <v>180.6</v>
      </c>
      <c r="J32" s="22">
        <v>372.31</v>
      </c>
      <c r="K32" s="7"/>
      <c r="L32" s="16"/>
      <c r="M32" s="7"/>
      <c r="N32" s="7"/>
      <c r="O32" s="7"/>
      <c r="P32" s="16">
        <f>D32+E32+F32+G32+I32+L32+M32+N32+O32+J32</f>
        <v>8840.41</v>
      </c>
      <c r="Q32" s="7">
        <v>1237.82</v>
      </c>
      <c r="R32" s="7">
        <v>608.44000000000005</v>
      </c>
      <c r="S32" s="7">
        <v>16.579999999999998</v>
      </c>
      <c r="T32" s="7">
        <v>180.6</v>
      </c>
      <c r="U32" s="16">
        <f>Q32+R32+S32+T32</f>
        <v>2043.4399999999998</v>
      </c>
      <c r="V32" s="16">
        <f>P32-U32</f>
        <v>6796.97</v>
      </c>
    </row>
    <row r="33" spans="1:22" x14ac:dyDescent="0.25">
      <c r="A33" s="6" t="s">
        <v>38</v>
      </c>
      <c r="B33" s="6" t="s">
        <v>59</v>
      </c>
      <c r="C33" s="6" t="s">
        <v>89</v>
      </c>
      <c r="D33" s="16">
        <v>3623.52</v>
      </c>
      <c r="E33" s="7"/>
      <c r="F33" s="7"/>
      <c r="G33" s="7">
        <f>52.99+8.83</f>
        <v>61.82</v>
      </c>
      <c r="H33" s="7">
        <v>693</v>
      </c>
      <c r="I33" s="7">
        <v>516.6</v>
      </c>
      <c r="J33" s="22"/>
      <c r="K33" s="7"/>
      <c r="L33" s="16">
        <f t="shared" si="0"/>
        <v>1209.5999999999999</v>
      </c>
      <c r="M33" s="7"/>
      <c r="N33" s="7"/>
      <c r="O33" s="7"/>
      <c r="P33" s="16">
        <f t="shared" si="1"/>
        <v>4894.9400000000005</v>
      </c>
      <c r="Q33" s="7">
        <v>137.88999999999999</v>
      </c>
      <c r="R33" s="7">
        <v>398.32</v>
      </c>
      <c r="S33" s="7">
        <v>13.42</v>
      </c>
      <c r="T33" s="7">
        <v>152.19</v>
      </c>
      <c r="U33" s="16">
        <f t="shared" si="2"/>
        <v>701.81999999999994</v>
      </c>
      <c r="V33" s="16">
        <f t="shared" si="3"/>
        <v>4193.1200000000008</v>
      </c>
    </row>
    <row r="34" spans="1:22" x14ac:dyDescent="0.25">
      <c r="A34" s="6" t="s">
        <v>39</v>
      </c>
      <c r="B34" s="6" t="s">
        <v>72</v>
      </c>
      <c r="C34" s="6" t="s">
        <v>86</v>
      </c>
      <c r="D34" s="16">
        <v>12709.66</v>
      </c>
      <c r="E34" s="7"/>
      <c r="F34" s="7"/>
      <c r="G34" s="7"/>
      <c r="H34" s="7">
        <v>693</v>
      </c>
      <c r="I34" s="7">
        <v>1209.81</v>
      </c>
      <c r="J34" s="22"/>
      <c r="K34" s="7"/>
      <c r="L34" s="16">
        <f t="shared" si="0"/>
        <v>1902.81</v>
      </c>
      <c r="M34" s="7"/>
      <c r="N34" s="7"/>
      <c r="O34" s="7"/>
      <c r="P34" s="16">
        <f t="shared" si="1"/>
        <v>14612.47</v>
      </c>
      <c r="Q34" s="7">
        <v>2458.48</v>
      </c>
      <c r="R34" s="16">
        <v>608.44000000000005</v>
      </c>
      <c r="S34" s="7"/>
      <c r="T34" s="7">
        <v>533.80999999999995</v>
      </c>
      <c r="U34" s="16">
        <f t="shared" si="2"/>
        <v>3600.73</v>
      </c>
      <c r="V34" s="16">
        <f t="shared" si="3"/>
        <v>11011.74</v>
      </c>
    </row>
    <row r="35" spans="1:22" x14ac:dyDescent="0.25">
      <c r="A35" s="6" t="s">
        <v>40</v>
      </c>
      <c r="B35" s="6" t="s">
        <v>73</v>
      </c>
      <c r="C35" s="6" t="s">
        <v>83</v>
      </c>
      <c r="D35" s="16">
        <v>3623.52</v>
      </c>
      <c r="E35" s="7"/>
      <c r="F35" s="7"/>
      <c r="G35" s="7"/>
      <c r="H35" s="7">
        <v>693</v>
      </c>
      <c r="I35" s="7">
        <v>357</v>
      </c>
      <c r="J35" s="22"/>
      <c r="K35" s="7"/>
      <c r="L35" s="16">
        <f t="shared" si="0"/>
        <v>1050</v>
      </c>
      <c r="M35" s="7"/>
      <c r="N35" s="7"/>
      <c r="O35" s="7"/>
      <c r="P35" s="16">
        <f t="shared" si="1"/>
        <v>4673.5200000000004</v>
      </c>
      <c r="Q35" s="7">
        <v>122.17</v>
      </c>
      <c r="R35" s="7">
        <v>393.01</v>
      </c>
      <c r="S35" s="7">
        <v>61.73</v>
      </c>
      <c r="T35" s="7">
        <v>152.19</v>
      </c>
      <c r="U35" s="16">
        <f t="shared" si="2"/>
        <v>729.09999999999991</v>
      </c>
      <c r="V35" s="16">
        <f t="shared" si="3"/>
        <v>3944.4200000000005</v>
      </c>
    </row>
    <row r="36" spans="1:22" x14ac:dyDescent="0.25">
      <c r="A36" s="6" t="s">
        <v>41</v>
      </c>
      <c r="B36" s="6" t="s">
        <v>82</v>
      </c>
      <c r="C36" s="6" t="s">
        <v>82</v>
      </c>
      <c r="D36" s="16">
        <f>6354.83+4838.78</f>
        <v>11193.61</v>
      </c>
      <c r="E36" s="7"/>
      <c r="F36" s="7"/>
      <c r="G36" s="7"/>
      <c r="H36" s="7">
        <v>693</v>
      </c>
      <c r="I36" s="7">
        <v>180.6</v>
      </c>
      <c r="J36" s="16">
        <v>1236.0899999999999</v>
      </c>
      <c r="K36" s="7"/>
      <c r="L36" s="16">
        <f t="shared" si="0"/>
        <v>2109.69</v>
      </c>
      <c r="M36" s="7"/>
      <c r="N36" s="7"/>
      <c r="O36" s="7"/>
      <c r="P36" s="16">
        <f t="shared" si="1"/>
        <v>13303.300000000001</v>
      </c>
      <c r="Q36" s="7">
        <v>2041.56</v>
      </c>
      <c r="R36" s="7">
        <v>608.44000000000005</v>
      </c>
      <c r="S36" s="7"/>
      <c r="T36" s="7">
        <v>180.6</v>
      </c>
      <c r="U36" s="16">
        <f t="shared" si="2"/>
        <v>2830.6</v>
      </c>
      <c r="V36" s="16">
        <f t="shared" si="3"/>
        <v>10472.700000000001</v>
      </c>
    </row>
    <row r="37" spans="1:22" x14ac:dyDescent="0.25">
      <c r="A37" s="5" t="s">
        <v>106</v>
      </c>
      <c r="B37" s="6" t="s">
        <v>62</v>
      </c>
      <c r="C37" s="6" t="s">
        <v>91</v>
      </c>
      <c r="D37" s="16">
        <v>898.76</v>
      </c>
      <c r="E37" s="7"/>
      <c r="F37" s="7"/>
      <c r="G37" s="7"/>
      <c r="H37" s="7">
        <v>198</v>
      </c>
      <c r="I37" s="7">
        <v>45.6</v>
      </c>
      <c r="J37" s="22"/>
      <c r="K37" s="7"/>
      <c r="L37" s="16">
        <f t="shared" si="0"/>
        <v>243.6</v>
      </c>
      <c r="M37" s="7"/>
      <c r="N37" s="7"/>
      <c r="O37" s="7"/>
      <c r="P37" s="16">
        <f t="shared" si="1"/>
        <v>1142.3599999999999</v>
      </c>
      <c r="Q37" s="7"/>
      <c r="R37" s="7"/>
      <c r="S37" s="7"/>
      <c r="T37" s="7"/>
      <c r="U37" s="16">
        <f t="shared" si="2"/>
        <v>0</v>
      </c>
      <c r="V37" s="16">
        <f t="shared" si="3"/>
        <v>1142.3599999999999</v>
      </c>
    </row>
    <row r="38" spans="1:22" x14ac:dyDescent="0.25">
      <c r="A38" s="6" t="s">
        <v>43</v>
      </c>
      <c r="B38" s="6" t="s">
        <v>76</v>
      </c>
      <c r="C38" s="6" t="s">
        <v>91</v>
      </c>
      <c r="D38" s="16">
        <v>6995.3</v>
      </c>
      <c r="E38" s="7"/>
      <c r="F38" s="7"/>
      <c r="G38" s="7">
        <v>178.52</v>
      </c>
      <c r="H38" s="7">
        <v>693</v>
      </c>
      <c r="I38" s="7">
        <v>180.6</v>
      </c>
      <c r="J38" s="22"/>
      <c r="K38" s="7"/>
      <c r="L38" s="16">
        <f t="shared" si="0"/>
        <v>873.6</v>
      </c>
      <c r="M38" s="7"/>
      <c r="N38" s="7"/>
      <c r="O38" s="7"/>
      <c r="P38" s="16">
        <f t="shared" si="1"/>
        <v>8047.420000000001</v>
      </c>
      <c r="Q38" s="7">
        <v>933.39</v>
      </c>
      <c r="R38" s="7">
        <v>608.44000000000005</v>
      </c>
      <c r="S38" s="7">
        <v>9.91</v>
      </c>
      <c r="T38" s="7">
        <v>180.6</v>
      </c>
      <c r="U38" s="16">
        <f t="shared" si="2"/>
        <v>1732.34</v>
      </c>
      <c r="V38" s="16">
        <f t="shared" si="3"/>
        <v>6315.0800000000008</v>
      </c>
    </row>
    <row r="39" spans="1:22" x14ac:dyDescent="0.25">
      <c r="A39" s="6" t="s">
        <v>44</v>
      </c>
      <c r="B39" s="6" t="s">
        <v>70</v>
      </c>
      <c r="C39" s="6" t="s">
        <v>90</v>
      </c>
      <c r="D39" s="16">
        <v>3623.52</v>
      </c>
      <c r="E39" s="7"/>
      <c r="F39" s="7"/>
      <c r="G39" s="7">
        <f>70.66+11.78</f>
        <v>82.44</v>
      </c>
      <c r="H39" s="7">
        <v>693</v>
      </c>
      <c r="I39" s="7">
        <v>273</v>
      </c>
      <c r="J39" s="22">
        <v>424.17</v>
      </c>
      <c r="K39" s="7"/>
      <c r="L39" s="16">
        <f t="shared" si="0"/>
        <v>1390.17</v>
      </c>
      <c r="M39" s="7"/>
      <c r="N39" s="7"/>
      <c r="O39" s="7"/>
      <c r="P39" s="16">
        <f t="shared" si="1"/>
        <v>5096.13</v>
      </c>
      <c r="Q39" s="7">
        <v>141.31</v>
      </c>
      <c r="R39" s="7">
        <v>398.59</v>
      </c>
      <c r="S39" s="7">
        <v>11</v>
      </c>
      <c r="T39" s="7">
        <v>152.19</v>
      </c>
      <c r="U39" s="16">
        <f t="shared" si="2"/>
        <v>703.08999999999992</v>
      </c>
      <c r="V39" s="16">
        <f t="shared" si="3"/>
        <v>4393.04</v>
      </c>
    </row>
    <row r="40" spans="1:22" x14ac:dyDescent="0.25">
      <c r="A40" s="5" t="s">
        <v>45</v>
      </c>
      <c r="B40" s="6" t="s">
        <v>58</v>
      </c>
      <c r="C40" s="6" t="s">
        <v>81</v>
      </c>
      <c r="D40" s="16">
        <v>3623.52</v>
      </c>
      <c r="E40" s="7"/>
      <c r="F40" s="7"/>
      <c r="G40" s="7"/>
      <c r="H40" s="7">
        <v>693</v>
      </c>
      <c r="I40" s="7">
        <v>243.8</v>
      </c>
      <c r="J40" s="22">
        <v>385.96</v>
      </c>
      <c r="K40" s="7"/>
      <c r="L40" s="16">
        <f t="shared" si="0"/>
        <v>1322.76</v>
      </c>
      <c r="M40" s="10"/>
      <c r="N40" s="7"/>
      <c r="O40" s="7"/>
      <c r="P40" s="16">
        <f t="shared" si="1"/>
        <v>4946.28</v>
      </c>
      <c r="Q40" s="7">
        <v>128.69999999999999</v>
      </c>
      <c r="R40" s="7">
        <v>398.39</v>
      </c>
      <c r="S40" s="7">
        <f>1.81+36.24</f>
        <v>38.050000000000004</v>
      </c>
      <c r="T40" s="7">
        <v>57.98</v>
      </c>
      <c r="U40" s="16">
        <f t="shared" si="2"/>
        <v>623.11999999999989</v>
      </c>
      <c r="V40" s="16">
        <f t="shared" si="3"/>
        <v>4323.16</v>
      </c>
    </row>
    <row r="41" spans="1:22" x14ac:dyDescent="0.25">
      <c r="A41" s="6" t="s">
        <v>46</v>
      </c>
      <c r="B41" s="6" t="s">
        <v>58</v>
      </c>
      <c r="C41" s="6" t="s">
        <v>81</v>
      </c>
      <c r="D41" s="16">
        <v>3623.52</v>
      </c>
      <c r="E41" s="7"/>
      <c r="F41" s="7"/>
      <c r="G41" s="7"/>
      <c r="H41" s="7">
        <v>693</v>
      </c>
      <c r="I41" s="7">
        <v>525</v>
      </c>
      <c r="J41" s="22">
        <v>318.41000000000003</v>
      </c>
      <c r="K41" s="7"/>
      <c r="L41" s="16">
        <f t="shared" si="0"/>
        <v>1536.41</v>
      </c>
      <c r="M41" s="7"/>
      <c r="N41" s="7"/>
      <c r="O41" s="7"/>
      <c r="P41" s="16">
        <f t="shared" si="1"/>
        <v>5159.93</v>
      </c>
      <c r="Q41" s="7">
        <v>128.94</v>
      </c>
      <c r="R41" s="7">
        <v>398.59</v>
      </c>
      <c r="S41" s="7">
        <f>11+36.24</f>
        <v>47.24</v>
      </c>
      <c r="T41" s="7">
        <v>152.19</v>
      </c>
      <c r="U41" s="16">
        <f t="shared" si="2"/>
        <v>726.96</v>
      </c>
      <c r="V41" s="16">
        <f t="shared" si="3"/>
        <v>4432.97</v>
      </c>
    </row>
    <row r="42" spans="1:22" x14ac:dyDescent="0.25">
      <c r="A42" s="5" t="s">
        <v>104</v>
      </c>
      <c r="B42" s="6" t="s">
        <v>59</v>
      </c>
      <c r="C42" s="6" t="s">
        <v>89</v>
      </c>
      <c r="D42" s="16">
        <v>3623.52</v>
      </c>
      <c r="E42" s="7"/>
      <c r="F42" s="7"/>
      <c r="G42" s="7"/>
      <c r="H42" s="7">
        <v>693</v>
      </c>
      <c r="I42" s="7">
        <v>373.8</v>
      </c>
      <c r="J42" s="22"/>
      <c r="K42" s="7"/>
      <c r="L42" s="16">
        <f t="shared" si="0"/>
        <v>1066.8</v>
      </c>
      <c r="M42" s="7"/>
      <c r="N42" s="7"/>
      <c r="O42" s="7"/>
      <c r="P42" s="16">
        <f t="shared" si="1"/>
        <v>4690.32</v>
      </c>
      <c r="Q42" s="7">
        <v>128.94</v>
      </c>
      <c r="R42" s="7">
        <v>398.59</v>
      </c>
      <c r="S42" s="7">
        <v>11</v>
      </c>
      <c r="T42" s="7">
        <v>152.19</v>
      </c>
      <c r="U42" s="16">
        <f t="shared" si="2"/>
        <v>690.72</v>
      </c>
      <c r="V42" s="16">
        <f t="shared" si="3"/>
        <v>3999.5999999999995</v>
      </c>
    </row>
    <row r="43" spans="1:22" x14ac:dyDescent="0.25">
      <c r="A43" s="6" t="s">
        <v>112</v>
      </c>
      <c r="B43" s="6" t="s">
        <v>66</v>
      </c>
      <c r="C43" s="6" t="s">
        <v>86</v>
      </c>
      <c r="D43" s="16">
        <v>4420</v>
      </c>
      <c r="E43" s="7"/>
      <c r="F43" s="7"/>
      <c r="G43" s="7">
        <f>549.05+91.51</f>
        <v>640.55999999999995</v>
      </c>
      <c r="H43" s="7">
        <v>396</v>
      </c>
      <c r="I43" s="7">
        <v>585.91999999999996</v>
      </c>
      <c r="J43" s="26">
        <v>351.3</v>
      </c>
      <c r="K43" s="7">
        <v>260</v>
      </c>
      <c r="L43" s="16">
        <f t="shared" si="0"/>
        <v>1593.22</v>
      </c>
      <c r="M43" s="7"/>
      <c r="N43" s="7"/>
      <c r="O43" s="7"/>
      <c r="P43" s="16">
        <f t="shared" si="1"/>
        <v>6653.78</v>
      </c>
      <c r="Q43" s="7">
        <v>445.71</v>
      </c>
      <c r="R43" s="16">
        <v>88.89</v>
      </c>
      <c r="S43" s="7"/>
      <c r="T43" s="7">
        <v>348.08</v>
      </c>
      <c r="U43" s="16">
        <f t="shared" si="2"/>
        <v>882.68000000000006</v>
      </c>
      <c r="V43" s="16">
        <f t="shared" si="3"/>
        <v>5771.0999999999995</v>
      </c>
    </row>
    <row r="44" spans="1:22" x14ac:dyDescent="0.25">
      <c r="A44" s="5" t="s">
        <v>47</v>
      </c>
      <c r="B44" s="6" t="s">
        <v>66</v>
      </c>
      <c r="C44" s="6" t="s">
        <v>86</v>
      </c>
      <c r="D44" s="16">
        <v>4972.5</v>
      </c>
      <c r="E44" s="7">
        <v>5248.75</v>
      </c>
      <c r="F44" s="7"/>
      <c r="G44" s="7">
        <f>301.46+39.97+6.66</f>
        <v>348.09</v>
      </c>
      <c r="H44" s="7">
        <v>363</v>
      </c>
      <c r="I44" s="7"/>
      <c r="J44" s="26">
        <v>351.3</v>
      </c>
      <c r="K44" s="7"/>
      <c r="L44" s="16">
        <f t="shared" si="0"/>
        <v>714.3</v>
      </c>
      <c r="M44" s="7">
        <v>1765.12</v>
      </c>
      <c r="N44" s="7"/>
      <c r="O44" s="7"/>
      <c r="P44" s="16">
        <f t="shared" si="1"/>
        <v>13048.759999999998</v>
      </c>
      <c r="Q44" s="7">
        <f>562.37+904.96</f>
        <v>1467.33</v>
      </c>
      <c r="R44" s="7">
        <f>117.92+608.44</f>
        <v>726.36</v>
      </c>
      <c r="S44" s="7"/>
      <c r="T44" s="7"/>
      <c r="U44" s="16">
        <f t="shared" si="2"/>
        <v>2193.69</v>
      </c>
      <c r="V44" s="16">
        <f t="shared" si="3"/>
        <v>10855.069999999998</v>
      </c>
    </row>
    <row r="45" spans="1:22" x14ac:dyDescent="0.25">
      <c r="A45" s="5" t="s">
        <v>48</v>
      </c>
      <c r="B45" s="6" t="s">
        <v>66</v>
      </c>
      <c r="C45" s="6" t="s">
        <v>85</v>
      </c>
      <c r="D45" s="16">
        <v>8287.5</v>
      </c>
      <c r="E45" s="7"/>
      <c r="F45" s="7"/>
      <c r="G45" s="7"/>
      <c r="H45" s="7">
        <v>693</v>
      </c>
      <c r="I45" s="7"/>
      <c r="J45" s="22">
        <v>300.93</v>
      </c>
      <c r="K45" s="7"/>
      <c r="L45" s="16">
        <f t="shared" si="0"/>
        <v>993.93000000000006</v>
      </c>
      <c r="M45" s="7"/>
      <c r="N45" s="7"/>
      <c r="O45" s="7"/>
      <c r="P45" s="16">
        <f t="shared" si="1"/>
        <v>9281.43</v>
      </c>
      <c r="Q45" s="7">
        <v>1242.3800000000001</v>
      </c>
      <c r="R45" s="7">
        <v>608.44000000000005</v>
      </c>
      <c r="S45" s="7">
        <v>11</v>
      </c>
      <c r="T45" s="7"/>
      <c r="U45" s="16">
        <f t="shared" si="2"/>
        <v>1861.8200000000002</v>
      </c>
      <c r="V45" s="16">
        <f t="shared" si="3"/>
        <v>7419.6100000000006</v>
      </c>
    </row>
    <row r="46" spans="1:22" x14ac:dyDescent="0.25">
      <c r="A46" s="5" t="s">
        <v>49</v>
      </c>
      <c r="B46" s="6" t="s">
        <v>58</v>
      </c>
      <c r="C46" s="6" t="s">
        <v>81</v>
      </c>
      <c r="D46" s="16">
        <v>3623.52</v>
      </c>
      <c r="E46" s="7"/>
      <c r="F46" s="7"/>
      <c r="G46" s="7"/>
      <c r="H46" s="7">
        <v>693</v>
      </c>
      <c r="I46" s="7">
        <v>526.6</v>
      </c>
      <c r="J46" s="22">
        <v>363.19</v>
      </c>
      <c r="K46" s="7"/>
      <c r="L46" s="16">
        <f t="shared" si="0"/>
        <v>1582.79</v>
      </c>
      <c r="M46" s="7"/>
      <c r="N46" s="7"/>
      <c r="O46" s="7"/>
      <c r="P46" s="16">
        <f t="shared" si="1"/>
        <v>5206.3099999999995</v>
      </c>
      <c r="Q46" s="7">
        <v>70.69</v>
      </c>
      <c r="R46" s="7">
        <v>397.46</v>
      </c>
      <c r="S46" s="7">
        <f>10.27+33+36.24</f>
        <v>79.509999999999991</v>
      </c>
      <c r="T46" s="7">
        <v>152.19</v>
      </c>
      <c r="U46" s="16">
        <f t="shared" si="2"/>
        <v>699.84999999999991</v>
      </c>
      <c r="V46" s="16">
        <f t="shared" si="3"/>
        <v>4506.4599999999991</v>
      </c>
    </row>
    <row r="47" spans="1:22" x14ac:dyDescent="0.25">
      <c r="A47" s="5" t="s">
        <v>50</v>
      </c>
      <c r="B47" s="6" t="s">
        <v>122</v>
      </c>
      <c r="C47" s="6" t="s">
        <v>85</v>
      </c>
      <c r="D47" s="16">
        <v>8287.5</v>
      </c>
      <c r="E47" s="7"/>
      <c r="F47" s="7"/>
      <c r="G47" s="7">
        <f>26.93+4.49</f>
        <v>31.42</v>
      </c>
      <c r="H47" s="7">
        <v>693</v>
      </c>
      <c r="I47" s="7">
        <v>180.6</v>
      </c>
      <c r="J47" s="22"/>
      <c r="K47" s="7"/>
      <c r="L47" s="16">
        <f t="shared" si="0"/>
        <v>873.6</v>
      </c>
      <c r="M47" s="7"/>
      <c r="N47" s="7"/>
      <c r="O47" s="7">
        <f>3685.15+442.22</f>
        <v>4127.37</v>
      </c>
      <c r="P47" s="16">
        <f t="shared" si="1"/>
        <v>13319.89</v>
      </c>
      <c r="Q47" s="7">
        <v>2386.0500000000002</v>
      </c>
      <c r="R47" s="7">
        <v>608.44000000000005</v>
      </c>
      <c r="S47" s="7"/>
      <c r="T47" s="7">
        <v>180.6</v>
      </c>
      <c r="U47" s="16">
        <f t="shared" si="2"/>
        <v>3175.09</v>
      </c>
      <c r="V47" s="16">
        <f t="shared" si="3"/>
        <v>10144.799999999999</v>
      </c>
    </row>
    <row r="48" spans="1:22" x14ac:dyDescent="0.25">
      <c r="A48" s="5" t="s">
        <v>51</v>
      </c>
      <c r="B48" s="6" t="s">
        <v>77</v>
      </c>
      <c r="C48" s="6" t="s">
        <v>83</v>
      </c>
      <c r="D48" s="16">
        <v>6995.3</v>
      </c>
      <c r="E48" s="7"/>
      <c r="F48" s="7"/>
      <c r="G48" s="7"/>
      <c r="H48" s="7">
        <v>693</v>
      </c>
      <c r="I48" s="7">
        <v>159.6</v>
      </c>
      <c r="J48" s="26">
        <v>351.3</v>
      </c>
      <c r="K48" s="7"/>
      <c r="L48" s="16">
        <f t="shared" si="0"/>
        <v>1203.9000000000001</v>
      </c>
      <c r="M48" s="7"/>
      <c r="N48" s="7"/>
      <c r="O48" s="7"/>
      <c r="P48" s="16">
        <f t="shared" si="1"/>
        <v>8199.2000000000007</v>
      </c>
      <c r="Q48" s="7">
        <v>887.03</v>
      </c>
      <c r="R48" s="7">
        <v>608.44000000000005</v>
      </c>
      <c r="S48" s="7"/>
      <c r="T48" s="7">
        <v>159.6</v>
      </c>
      <c r="U48" s="16">
        <f t="shared" si="2"/>
        <v>1655.07</v>
      </c>
      <c r="V48" s="16">
        <f t="shared" si="3"/>
        <v>6544.130000000001</v>
      </c>
    </row>
    <row r="49" spans="1:22" x14ac:dyDescent="0.25">
      <c r="A49" s="6" t="s">
        <v>53</v>
      </c>
      <c r="B49" s="6" t="s">
        <v>73</v>
      </c>
      <c r="C49" s="6" t="s">
        <v>83</v>
      </c>
      <c r="D49" s="16">
        <v>3623.52</v>
      </c>
      <c r="E49" s="7"/>
      <c r="F49" s="7"/>
      <c r="G49" s="7"/>
      <c r="H49" s="7">
        <v>693</v>
      </c>
      <c r="I49" s="7">
        <v>602.70000000000005</v>
      </c>
      <c r="J49" s="22">
        <v>372.32</v>
      </c>
      <c r="K49" s="7"/>
      <c r="L49" s="16">
        <f t="shared" si="0"/>
        <v>1668.02</v>
      </c>
      <c r="M49" s="7"/>
      <c r="N49" s="7"/>
      <c r="O49" s="7"/>
      <c r="P49" s="16">
        <f t="shared" si="1"/>
        <v>5291.54</v>
      </c>
      <c r="Q49" s="7">
        <v>126.4</v>
      </c>
      <c r="R49" s="7">
        <v>396.5</v>
      </c>
      <c r="S49" s="7">
        <f>19.02+36.24</f>
        <v>55.260000000000005</v>
      </c>
      <c r="T49" s="7">
        <v>152.19</v>
      </c>
      <c r="U49" s="16">
        <f t="shared" si="2"/>
        <v>730.34999999999991</v>
      </c>
      <c r="V49" s="16">
        <f t="shared" si="3"/>
        <v>4561.1900000000005</v>
      </c>
    </row>
    <row r="50" spans="1:22" x14ac:dyDescent="0.25">
      <c r="A50" s="6" t="s">
        <v>54</v>
      </c>
      <c r="B50" s="6" t="s">
        <v>79</v>
      </c>
      <c r="C50" s="6" t="s">
        <v>87</v>
      </c>
      <c r="D50" s="16">
        <v>6995.3</v>
      </c>
      <c r="E50" s="7"/>
      <c r="F50" s="7"/>
      <c r="G50" s="7"/>
      <c r="H50" s="7">
        <v>693</v>
      </c>
      <c r="I50" s="7">
        <v>180.6</v>
      </c>
      <c r="J50" s="22"/>
      <c r="K50" s="7"/>
      <c r="L50" s="16">
        <f t="shared" si="0"/>
        <v>873.6</v>
      </c>
      <c r="M50" s="7"/>
      <c r="N50" s="7"/>
      <c r="O50" s="7"/>
      <c r="P50" s="16">
        <f t="shared" si="1"/>
        <v>7868.9000000000005</v>
      </c>
      <c r="Q50" s="7">
        <v>887.03</v>
      </c>
      <c r="R50" s="7">
        <v>608.44000000000005</v>
      </c>
      <c r="S50" s="7"/>
      <c r="T50" s="7">
        <v>180.6</v>
      </c>
      <c r="U50" s="16">
        <f t="shared" si="2"/>
        <v>1676.07</v>
      </c>
      <c r="V50" s="16">
        <f t="shared" si="3"/>
        <v>6192.8300000000008</v>
      </c>
    </row>
    <row r="51" spans="1:22" x14ac:dyDescent="0.25">
      <c r="A51" s="5" t="s">
        <v>111</v>
      </c>
      <c r="B51" s="6" t="s">
        <v>62</v>
      </c>
      <c r="C51" s="6" t="s">
        <v>85</v>
      </c>
      <c r="D51" s="16">
        <v>898.79</v>
      </c>
      <c r="E51" s="7"/>
      <c r="F51" s="7"/>
      <c r="G51" s="7"/>
      <c r="H51" s="7">
        <v>693</v>
      </c>
      <c r="I51" s="7">
        <v>336</v>
      </c>
      <c r="J51" s="22"/>
      <c r="K51" s="7"/>
      <c r="L51" s="16">
        <f t="shared" si="0"/>
        <v>1029</v>
      </c>
      <c r="M51" s="7"/>
      <c r="N51" s="7"/>
      <c r="O51" s="7"/>
      <c r="P51" s="16">
        <f t="shared" si="1"/>
        <v>1927.79</v>
      </c>
      <c r="Q51" s="7"/>
      <c r="R51" s="7"/>
      <c r="S51" s="7"/>
      <c r="T51" s="7"/>
      <c r="U51" s="16">
        <f t="shared" si="2"/>
        <v>0</v>
      </c>
      <c r="V51" s="16">
        <f t="shared" si="3"/>
        <v>1927.79</v>
      </c>
    </row>
    <row r="52" spans="1:22" x14ac:dyDescent="0.25">
      <c r="A52" s="5" t="s">
        <v>128</v>
      </c>
      <c r="B52" s="6" t="s">
        <v>58</v>
      </c>
      <c r="C52" s="6" t="s">
        <v>85</v>
      </c>
      <c r="D52" s="16">
        <v>331.62</v>
      </c>
      <c r="E52" s="7"/>
      <c r="F52" s="7"/>
      <c r="G52" s="7"/>
      <c r="H52" s="7">
        <v>0</v>
      </c>
      <c r="I52" s="7"/>
      <c r="J52" s="22"/>
      <c r="K52" s="7"/>
      <c r="L52" s="16">
        <f t="shared" si="0"/>
        <v>0</v>
      </c>
      <c r="M52" s="7"/>
      <c r="N52" s="7"/>
      <c r="O52" s="7"/>
      <c r="P52" s="16">
        <f t="shared" si="1"/>
        <v>331.62</v>
      </c>
      <c r="Q52" s="7"/>
      <c r="R52" s="7"/>
      <c r="S52" s="7">
        <v>11</v>
      </c>
      <c r="T52" s="7"/>
      <c r="U52" s="16">
        <f t="shared" si="2"/>
        <v>11</v>
      </c>
      <c r="V52" s="16">
        <f t="shared" si="3"/>
        <v>320.62</v>
      </c>
    </row>
    <row r="53" spans="1:22" x14ac:dyDescent="0.25">
      <c r="A53" s="6" t="s">
        <v>56</v>
      </c>
      <c r="B53" s="6" t="s">
        <v>121</v>
      </c>
      <c r="C53" s="6" t="s">
        <v>89</v>
      </c>
      <c r="D53" s="16">
        <v>6295.77</v>
      </c>
      <c r="E53" s="7"/>
      <c r="F53" s="7"/>
      <c r="G53" s="7">
        <f>48.97+8.16</f>
        <v>57.129999999999995</v>
      </c>
      <c r="H53" s="7">
        <v>627</v>
      </c>
      <c r="I53" s="7"/>
      <c r="J53" s="22"/>
      <c r="K53" s="7"/>
      <c r="L53" s="16">
        <f t="shared" si="0"/>
        <v>627</v>
      </c>
      <c r="M53" s="7"/>
      <c r="N53" s="7"/>
      <c r="O53" s="7">
        <v>4761.97</v>
      </c>
      <c r="P53" s="16">
        <f>D53+E53+F53+G53+L53+M53+N53+O53</f>
        <v>11741.87</v>
      </c>
      <c r="Q53" s="7">
        <v>2027.18</v>
      </c>
      <c r="R53" s="7">
        <v>582</v>
      </c>
      <c r="S53" s="7"/>
      <c r="T53" s="7"/>
      <c r="U53" s="16">
        <f t="shared" si="2"/>
        <v>2609.1800000000003</v>
      </c>
      <c r="V53" s="16">
        <f>P53-U53</f>
        <v>9132.69</v>
      </c>
    </row>
    <row r="54" spans="1:22" x14ac:dyDescent="0.25">
      <c r="A54" s="6" t="s">
        <v>57</v>
      </c>
      <c r="B54" s="6" t="s">
        <v>62</v>
      </c>
      <c r="C54" s="6" t="s">
        <v>91</v>
      </c>
      <c r="D54" s="7">
        <v>898.79</v>
      </c>
      <c r="E54" s="7"/>
      <c r="F54" s="7"/>
      <c r="G54" s="7"/>
      <c r="H54" s="16">
        <v>198</v>
      </c>
      <c r="I54" s="7">
        <v>96</v>
      </c>
      <c r="J54" s="22"/>
      <c r="K54" s="7"/>
      <c r="L54" s="16">
        <f t="shared" si="0"/>
        <v>294</v>
      </c>
      <c r="M54" s="16"/>
      <c r="N54" s="7"/>
      <c r="O54" s="7"/>
      <c r="P54" s="7">
        <f t="shared" si="1"/>
        <v>1192.79</v>
      </c>
      <c r="Q54" s="7"/>
      <c r="R54" s="16"/>
      <c r="S54" s="16"/>
      <c r="T54" s="16"/>
      <c r="U54" s="7">
        <f t="shared" si="2"/>
        <v>0</v>
      </c>
      <c r="V54" s="7">
        <f t="shared" si="3"/>
        <v>1192.79</v>
      </c>
    </row>
    <row r="55" spans="1:22" x14ac:dyDescent="0.25">
      <c r="A55" s="5" t="s">
        <v>127</v>
      </c>
      <c r="B55" s="6" t="s">
        <v>62</v>
      </c>
      <c r="C55" s="6" t="s">
        <v>87</v>
      </c>
      <c r="D55" s="16">
        <v>898.79</v>
      </c>
      <c r="E55" s="7"/>
      <c r="F55" s="7"/>
      <c r="G55" s="7"/>
      <c r="H55" s="7">
        <v>693</v>
      </c>
      <c r="I55" s="7">
        <v>336</v>
      </c>
      <c r="J55" s="22"/>
      <c r="K55" s="7"/>
      <c r="L55" s="16">
        <f>H55+I55+K55+J55</f>
        <v>1029</v>
      </c>
      <c r="M55" s="7"/>
      <c r="N55" s="7"/>
      <c r="O55" s="7"/>
      <c r="P55" s="16">
        <f>D55+E55+F55+G55+L55+M55+N55+O55</f>
        <v>1927.79</v>
      </c>
      <c r="Q55" s="7"/>
      <c r="R55" s="7"/>
      <c r="S55" s="7"/>
      <c r="T55" s="7"/>
      <c r="U55" s="16">
        <f>Q55+R55+S55+T55</f>
        <v>0</v>
      </c>
      <c r="V55" s="16">
        <f>P55-U55</f>
        <v>1927.79</v>
      </c>
    </row>
    <row r="56" spans="1:22" x14ac:dyDescent="0.25">
      <c r="H56" s="1">
        <f>SUM(H5:H55)</f>
        <v>29007</v>
      </c>
      <c r="I56" s="1">
        <f>SUM(I5:I55)</f>
        <v>11086.630000000003</v>
      </c>
      <c r="J56" s="1">
        <f>SUM(J5:J55)</f>
        <v>10477.289999999999</v>
      </c>
      <c r="K56" s="1"/>
      <c r="L56" s="1"/>
      <c r="P56" s="3"/>
      <c r="V56" s="1">
        <f>SUM(V5:V55)</f>
        <v>260244.72</v>
      </c>
    </row>
    <row r="57" spans="1:22" x14ac:dyDescent="0.25">
      <c r="H57" s="1"/>
      <c r="I57" s="1"/>
      <c r="J57" s="1"/>
      <c r="K57" s="1"/>
      <c r="L57" s="1"/>
      <c r="P57" s="3"/>
      <c r="V57" s="1"/>
    </row>
    <row r="58" spans="1:22" x14ac:dyDescent="0.25">
      <c r="P58" s="3"/>
    </row>
    <row r="59" spans="1:22" ht="19.5" x14ac:dyDescent="0.3">
      <c r="A59" s="17" t="s">
        <v>95</v>
      </c>
      <c r="P59" s="3"/>
    </row>
    <row r="60" spans="1:22" ht="19.5" x14ac:dyDescent="0.25">
      <c r="A60" s="20" t="s">
        <v>0</v>
      </c>
      <c r="B60" s="21" t="s">
        <v>1</v>
      </c>
      <c r="C60" s="21" t="s">
        <v>2</v>
      </c>
      <c r="D60" s="21" t="s">
        <v>98</v>
      </c>
      <c r="E60" s="21" t="s">
        <v>97</v>
      </c>
      <c r="F60" s="21" t="s">
        <v>10</v>
      </c>
      <c r="G60" s="20" t="s">
        <v>11</v>
      </c>
      <c r="H60" s="18"/>
      <c r="I60" s="18"/>
      <c r="J60" s="18"/>
      <c r="K60" s="18"/>
      <c r="L60" s="21" t="s">
        <v>96</v>
      </c>
      <c r="M60" s="19"/>
      <c r="N60" s="19"/>
      <c r="O60" s="19"/>
      <c r="P60" s="19"/>
      <c r="Q60" s="19"/>
      <c r="R60" s="19"/>
      <c r="S60" s="19"/>
      <c r="T60" s="19"/>
    </row>
    <row r="61" spans="1:22" x14ac:dyDescent="0.25">
      <c r="A61" s="8"/>
      <c r="B61" s="9"/>
      <c r="C61" s="9"/>
      <c r="D61" s="16"/>
      <c r="P61" s="3"/>
    </row>
    <row r="62" spans="1:22" x14ac:dyDescent="0.25">
      <c r="A62" s="5"/>
      <c r="B62" s="6"/>
      <c r="C62" s="6"/>
      <c r="D62" s="16"/>
      <c r="P62" s="3"/>
    </row>
    <row r="63" spans="1:22" x14ac:dyDescent="0.25">
      <c r="A63" s="5"/>
      <c r="B63" s="6"/>
      <c r="C63" s="6"/>
      <c r="D63" s="16"/>
      <c r="P63" s="3"/>
    </row>
    <row r="64" spans="1:22" x14ac:dyDescent="0.25">
      <c r="A64" s="5"/>
      <c r="B64" s="6"/>
      <c r="C64" s="6"/>
      <c r="D64" s="16"/>
      <c r="P64" s="3"/>
    </row>
    <row r="65" spans="1:16" x14ac:dyDescent="0.25">
      <c r="A65" s="6"/>
      <c r="B65" s="6"/>
      <c r="C65" s="6"/>
      <c r="D65" s="16"/>
      <c r="P65" s="3"/>
    </row>
    <row r="66" spans="1:16" x14ac:dyDescent="0.25">
      <c r="P66" s="3"/>
    </row>
    <row r="67" spans="1:16" x14ac:dyDescent="0.25">
      <c r="P67" s="3"/>
    </row>
    <row r="68" spans="1:16" x14ac:dyDescent="0.25">
      <c r="P68" s="3"/>
    </row>
    <row r="69" spans="1:16" x14ac:dyDescent="0.25">
      <c r="P69" s="3"/>
    </row>
    <row r="70" spans="1:16" x14ac:dyDescent="0.25">
      <c r="P70" s="3"/>
    </row>
    <row r="71" spans="1:16" x14ac:dyDescent="0.25">
      <c r="P71" s="3"/>
    </row>
    <row r="72" spans="1:16" x14ac:dyDescent="0.25">
      <c r="P72" s="3"/>
    </row>
    <row r="73" spans="1:16" x14ac:dyDescent="0.25">
      <c r="P73" s="3"/>
    </row>
    <row r="74" spans="1:16" x14ac:dyDescent="0.25">
      <c r="P74" s="3"/>
    </row>
    <row r="75" spans="1:16" x14ac:dyDescent="0.25">
      <c r="P75" s="3"/>
    </row>
    <row r="76" spans="1:16" x14ac:dyDescent="0.25">
      <c r="P76" s="3"/>
    </row>
    <row r="77" spans="1:16" x14ac:dyDescent="0.25">
      <c r="P77" s="3"/>
    </row>
    <row r="78" spans="1:16" x14ac:dyDescent="0.25">
      <c r="P78" s="3"/>
    </row>
    <row r="79" spans="1:16" x14ac:dyDescent="0.25">
      <c r="P79" s="3"/>
    </row>
    <row r="80" spans="1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  <row r="114" spans="16:16" x14ac:dyDescent="0.25">
      <c r="P114" s="3"/>
    </row>
    <row r="115" spans="16:16" x14ac:dyDescent="0.25">
      <c r="P115" s="3"/>
    </row>
    <row r="116" spans="16:16" x14ac:dyDescent="0.25">
      <c r="P116" s="3"/>
    </row>
    <row r="117" spans="16:16" x14ac:dyDescent="0.25">
      <c r="P117" s="3"/>
    </row>
    <row r="118" spans="16:16" x14ac:dyDescent="0.25">
      <c r="P118" s="3"/>
    </row>
    <row r="119" spans="16:16" x14ac:dyDescent="0.25">
      <c r="P119" s="3"/>
    </row>
  </sheetData>
  <autoFilter ref="A4:V62"/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ignoredErrors>
    <ignoredError sqref="P32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showGridLines="0" zoomScaleNormal="100" workbookViewId="0">
      <pane xSplit="1" ySplit="4" topLeftCell="N45" activePane="bottomRight" state="frozen"/>
      <selection pane="topRight" activeCell="B1" sqref="B1"/>
      <selection pane="bottomLeft" activeCell="A5" sqref="A5"/>
      <selection pane="bottomRight" sqref="A1:V59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140625" style="2" customWidth="1"/>
    <col min="15" max="15" width="16.28515625" style="2" customWidth="1"/>
    <col min="16" max="16" width="20.28515625" style="2" customWidth="1"/>
    <col min="17" max="17" width="13" style="2" bestFit="1" customWidth="1"/>
    <col min="18" max="18" width="12.140625" style="2" bestFit="1" customWidth="1"/>
    <col min="19" max="19" width="18.85546875" style="2" bestFit="1" customWidth="1"/>
    <col min="20" max="20" width="11.42578125" style="2" bestFit="1" customWidth="1"/>
    <col min="21" max="21" width="17.5703125" style="2" bestFit="1" customWidth="1"/>
    <col min="22" max="22" width="14.85546875" style="2" bestFit="1" customWidth="1"/>
    <col min="23" max="16384" width="9.140625" style="2"/>
  </cols>
  <sheetData>
    <row r="1" spans="1:22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x14ac:dyDescent="0.3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92</v>
      </c>
      <c r="U4" s="20" t="s">
        <v>13</v>
      </c>
      <c r="V4" s="21" t="s">
        <v>14</v>
      </c>
    </row>
    <row r="5" spans="1:22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>
        <f>135.28+22.55</f>
        <v>157.83000000000001</v>
      </c>
      <c r="H5" s="7">
        <v>693</v>
      </c>
      <c r="I5" s="7">
        <v>546</v>
      </c>
      <c r="J5" s="7">
        <v>424.17</v>
      </c>
      <c r="K5" s="7"/>
      <c r="L5" s="16">
        <f t="shared" ref="L5:L36" si="0">H5+I5+K5+J5</f>
        <v>1663.17</v>
      </c>
      <c r="M5" s="7"/>
      <c r="N5" s="7"/>
      <c r="O5" s="7"/>
      <c r="P5" s="16">
        <f t="shared" ref="P5:P27" si="1">D5+E5+F5+G5+L5+M5+N5+O5</f>
        <v>5444.52</v>
      </c>
      <c r="Q5" s="7">
        <v>146.41999999999999</v>
      </c>
      <c r="R5" s="7">
        <v>412.99</v>
      </c>
      <c r="S5" s="7">
        <f>26.87+11+36.24</f>
        <v>74.110000000000014</v>
      </c>
      <c r="T5" s="7">
        <v>152.19</v>
      </c>
      <c r="U5" s="16">
        <f>Q5+R5+S5+T5</f>
        <v>785.71</v>
      </c>
      <c r="V5" s="16">
        <f t="shared" ref="V5:V36" si="2">P5-U5</f>
        <v>4658.8100000000004</v>
      </c>
    </row>
    <row r="6" spans="1:22" x14ac:dyDescent="0.25">
      <c r="A6" s="5" t="s">
        <v>17</v>
      </c>
      <c r="B6" s="6" t="s">
        <v>59</v>
      </c>
      <c r="C6" s="6" t="s">
        <v>82</v>
      </c>
      <c r="D6" s="16">
        <v>3623.52</v>
      </c>
      <c r="E6" s="7"/>
      <c r="F6" s="7"/>
      <c r="G6" s="7">
        <f>17.21+4.53+3.62</f>
        <v>25.360000000000003</v>
      </c>
      <c r="H6" s="7">
        <v>693</v>
      </c>
      <c r="I6" s="7"/>
      <c r="J6" s="16"/>
      <c r="K6" s="7">
        <f>260+260</f>
        <v>520</v>
      </c>
      <c r="L6" s="16">
        <f t="shared" si="0"/>
        <v>1213</v>
      </c>
      <c r="M6" s="7"/>
      <c r="N6" s="7"/>
      <c r="O6" s="7"/>
      <c r="P6" s="16">
        <f t="shared" si="1"/>
        <v>4861.88</v>
      </c>
      <c r="Q6" s="7">
        <v>75.45</v>
      </c>
      <c r="R6" s="7">
        <v>401.38</v>
      </c>
      <c r="S6" s="7"/>
      <c r="T6" s="7"/>
      <c r="U6" s="16">
        <f>Q6+R6+S6+T6</f>
        <v>476.83</v>
      </c>
      <c r="V6" s="16">
        <f t="shared" si="2"/>
        <v>4385.05</v>
      </c>
    </row>
    <row r="7" spans="1:22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693</v>
      </c>
      <c r="I7" s="7">
        <v>159.6</v>
      </c>
      <c r="J7" s="7"/>
      <c r="K7" s="7"/>
      <c r="L7" s="16">
        <f t="shared" si="0"/>
        <v>852.6</v>
      </c>
      <c r="M7" s="7"/>
      <c r="N7" s="7"/>
      <c r="O7" s="7"/>
      <c r="P7" s="16">
        <f t="shared" si="1"/>
        <v>6156.8200000000006</v>
      </c>
      <c r="Q7" s="7">
        <v>340.73</v>
      </c>
      <c r="R7" s="7">
        <v>583.46</v>
      </c>
      <c r="S7" s="7"/>
      <c r="T7" s="7">
        <v>159.6</v>
      </c>
      <c r="U7" s="16">
        <f>Q7+R7+S7+T7</f>
        <v>1083.79</v>
      </c>
      <c r="V7" s="16">
        <f t="shared" si="2"/>
        <v>5073.0300000000007</v>
      </c>
    </row>
    <row r="8" spans="1:22" x14ac:dyDescent="0.25">
      <c r="A8" s="6" t="s">
        <v>20</v>
      </c>
      <c r="B8" s="6" t="s">
        <v>58</v>
      </c>
      <c r="C8" s="6" t="s">
        <v>81</v>
      </c>
      <c r="D8" s="16">
        <v>2415.6799999999998</v>
      </c>
      <c r="E8" s="7">
        <f>1207.84+4.76</f>
        <v>1212.5999999999999</v>
      </c>
      <c r="F8" s="7"/>
      <c r="G8" s="7"/>
      <c r="H8" s="7">
        <v>429</v>
      </c>
      <c r="I8" s="7">
        <v>210.6</v>
      </c>
      <c r="J8" s="7">
        <v>450.64</v>
      </c>
      <c r="K8" s="7"/>
      <c r="L8" s="16">
        <f t="shared" si="0"/>
        <v>1090.24</v>
      </c>
      <c r="M8" s="7">
        <v>404.46</v>
      </c>
      <c r="N8" s="7"/>
      <c r="O8" s="7"/>
      <c r="P8" s="16">
        <f t="shared" si="1"/>
        <v>5122.9799999999996</v>
      </c>
      <c r="Q8" s="7"/>
      <c r="R8" s="7">
        <f>305.49+129.43</f>
        <v>434.92</v>
      </c>
      <c r="S8" s="7">
        <f>2.72+77+22+24.16</f>
        <v>125.88</v>
      </c>
      <c r="T8" s="7">
        <v>94.21</v>
      </c>
      <c r="U8" s="16">
        <f>Q8+R8+S8+T8</f>
        <v>655.01</v>
      </c>
      <c r="V8" s="16">
        <f t="shared" si="2"/>
        <v>4467.9699999999993</v>
      </c>
    </row>
    <row r="9" spans="1:22" x14ac:dyDescent="0.25">
      <c r="A9" s="5" t="s">
        <v>105</v>
      </c>
      <c r="B9" s="6" t="s">
        <v>62</v>
      </c>
      <c r="C9" s="6" t="s">
        <v>83</v>
      </c>
      <c r="D9" s="16">
        <v>898.79</v>
      </c>
      <c r="E9" s="7"/>
      <c r="F9" s="7"/>
      <c r="G9" s="7"/>
      <c r="H9" s="7">
        <v>693</v>
      </c>
      <c r="I9" s="7">
        <v>180.6</v>
      </c>
      <c r="J9" s="7"/>
      <c r="K9" s="7"/>
      <c r="L9" s="16">
        <f t="shared" si="0"/>
        <v>873.6</v>
      </c>
      <c r="M9" s="10"/>
      <c r="N9" s="7"/>
      <c r="O9" s="7"/>
      <c r="P9" s="16">
        <f t="shared" si="1"/>
        <v>1772.3899999999999</v>
      </c>
      <c r="Q9" s="7"/>
      <c r="R9" s="7"/>
      <c r="S9" s="7"/>
      <c r="T9" s="7"/>
      <c r="U9" s="16"/>
      <c r="V9" s="16">
        <f t="shared" si="2"/>
        <v>1772.3899999999999</v>
      </c>
    </row>
    <row r="10" spans="1:22" x14ac:dyDescent="0.25">
      <c r="A10" s="5" t="s">
        <v>21</v>
      </c>
      <c r="B10" s="6" t="s">
        <v>58</v>
      </c>
      <c r="C10" s="6" t="s">
        <v>85</v>
      </c>
      <c r="D10" s="16">
        <v>1328.62</v>
      </c>
      <c r="E10" s="7">
        <v>2294.9</v>
      </c>
      <c r="F10" s="7"/>
      <c r="G10" s="7"/>
      <c r="H10" s="7">
        <v>198</v>
      </c>
      <c r="I10" s="7">
        <v>45.6</v>
      </c>
      <c r="J10" s="7"/>
      <c r="K10" s="7"/>
      <c r="L10" s="16">
        <f t="shared" si="0"/>
        <v>243.6</v>
      </c>
      <c r="M10" s="7">
        <v>764.97</v>
      </c>
      <c r="N10" s="7"/>
      <c r="O10" s="7"/>
      <c r="P10" s="16">
        <f t="shared" si="1"/>
        <v>4632.09</v>
      </c>
      <c r="Q10" s="7">
        <v>61.45</v>
      </c>
      <c r="R10" s="7">
        <f>146.14+336.59</f>
        <v>482.72999999999996</v>
      </c>
      <c r="S10" s="7">
        <v>13.29</v>
      </c>
      <c r="T10" s="7">
        <v>43.48</v>
      </c>
      <c r="U10" s="16">
        <f t="shared" ref="U10:U53" si="3">Q10+R10+S10+T10</f>
        <v>600.94999999999993</v>
      </c>
      <c r="V10" s="16">
        <f t="shared" si="2"/>
        <v>4031.1400000000003</v>
      </c>
    </row>
    <row r="11" spans="1:22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693</v>
      </c>
      <c r="I11" s="7"/>
      <c r="J11" s="7"/>
      <c r="K11" s="7"/>
      <c r="L11" s="16">
        <f t="shared" si="0"/>
        <v>693</v>
      </c>
      <c r="M11" s="10"/>
      <c r="N11" s="7"/>
      <c r="O11" s="7"/>
      <c r="P11" s="16">
        <f t="shared" si="1"/>
        <v>10370.56</v>
      </c>
      <c r="Q11" s="7">
        <v>1624.65</v>
      </c>
      <c r="R11" s="7">
        <v>608.44000000000005</v>
      </c>
      <c r="S11" s="7"/>
      <c r="T11" s="7"/>
      <c r="U11" s="16">
        <f t="shared" si="3"/>
        <v>2233.09</v>
      </c>
      <c r="V11" s="16">
        <f t="shared" si="2"/>
        <v>8137.4699999999993</v>
      </c>
    </row>
    <row r="12" spans="1:22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/>
      <c r="H12" s="7">
        <v>693</v>
      </c>
      <c r="I12" s="7">
        <v>340.2</v>
      </c>
      <c r="J12" s="7"/>
      <c r="K12" s="7"/>
      <c r="L12" s="16">
        <f t="shared" si="0"/>
        <v>1033.2</v>
      </c>
      <c r="M12" s="7"/>
      <c r="N12" s="7"/>
      <c r="O12" s="7"/>
      <c r="P12" s="16">
        <f t="shared" si="1"/>
        <v>4656.72</v>
      </c>
      <c r="Q12" s="7">
        <v>128.94</v>
      </c>
      <c r="R12" s="7">
        <v>398.59</v>
      </c>
      <c r="S12" s="7"/>
      <c r="T12" s="7">
        <v>152.19</v>
      </c>
      <c r="U12" s="16">
        <f t="shared" si="3"/>
        <v>679.72</v>
      </c>
      <c r="V12" s="16">
        <f t="shared" si="2"/>
        <v>3977</v>
      </c>
    </row>
    <row r="13" spans="1:22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561</v>
      </c>
      <c r="I13" s="7">
        <v>146.19999999999999</v>
      </c>
      <c r="J13" s="7">
        <v>692.25</v>
      </c>
      <c r="K13" s="7"/>
      <c r="L13" s="16">
        <f t="shared" si="0"/>
        <v>1399.45</v>
      </c>
      <c r="M13" s="7"/>
      <c r="N13" s="7"/>
      <c r="O13" s="7"/>
      <c r="P13" s="16">
        <f t="shared" si="1"/>
        <v>11077.01</v>
      </c>
      <c r="Q13" s="7">
        <v>1624.65</v>
      </c>
      <c r="R13" s="7">
        <v>608.44000000000005</v>
      </c>
      <c r="S13" s="7"/>
      <c r="T13" s="7">
        <v>146.19999999999999</v>
      </c>
      <c r="U13" s="16">
        <f t="shared" si="3"/>
        <v>2379.29</v>
      </c>
      <c r="V13" s="16">
        <f t="shared" si="2"/>
        <v>8697.7200000000012</v>
      </c>
    </row>
    <row r="14" spans="1:22" x14ac:dyDescent="0.25">
      <c r="A14" s="5" t="s">
        <v>103</v>
      </c>
      <c r="B14" s="6" t="s">
        <v>62</v>
      </c>
      <c r="C14" s="6" t="s">
        <v>89</v>
      </c>
      <c r="D14" s="16">
        <v>898.79</v>
      </c>
      <c r="E14" s="7"/>
      <c r="F14" s="7"/>
      <c r="G14" s="7"/>
      <c r="H14" s="7">
        <v>693</v>
      </c>
      <c r="I14" s="7">
        <v>336</v>
      </c>
      <c r="J14" s="7"/>
      <c r="K14" s="7"/>
      <c r="L14" s="16">
        <f t="shared" si="0"/>
        <v>1029</v>
      </c>
      <c r="M14" s="7"/>
      <c r="N14" s="7"/>
      <c r="O14" s="7"/>
      <c r="P14" s="16">
        <f t="shared" si="1"/>
        <v>1927.79</v>
      </c>
      <c r="Q14" s="7"/>
      <c r="R14" s="7"/>
      <c r="S14" s="7"/>
      <c r="T14" s="7"/>
      <c r="U14" s="16">
        <f t="shared" si="3"/>
        <v>0</v>
      </c>
      <c r="V14" s="16">
        <f t="shared" si="2"/>
        <v>1927.79</v>
      </c>
    </row>
    <row r="15" spans="1:22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/>
      <c r="I15" s="7"/>
      <c r="J15" s="7">
        <v>840.79</v>
      </c>
      <c r="K15" s="7"/>
      <c r="L15" s="16">
        <f t="shared" si="0"/>
        <v>840.79</v>
      </c>
      <c r="M15" s="7"/>
      <c r="N15" s="7"/>
      <c r="O15" s="7">
        <v>1682.11</v>
      </c>
      <c r="P15" s="16">
        <f t="shared" si="1"/>
        <v>2522.8999999999996</v>
      </c>
      <c r="Q15" s="7"/>
      <c r="R15" s="7"/>
      <c r="S15" s="7"/>
      <c r="T15" s="7"/>
      <c r="U15" s="16">
        <f t="shared" si="3"/>
        <v>0</v>
      </c>
      <c r="V15" s="16">
        <f t="shared" si="2"/>
        <v>2522.8999999999996</v>
      </c>
    </row>
    <row r="16" spans="1:22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/>
      <c r="H16" s="7">
        <v>693</v>
      </c>
      <c r="I16" s="7">
        <v>340.2</v>
      </c>
      <c r="J16" s="7">
        <v>351.3</v>
      </c>
      <c r="K16" s="7"/>
      <c r="L16" s="16">
        <f t="shared" si="0"/>
        <v>1384.5</v>
      </c>
      <c r="M16" s="7"/>
      <c r="N16" s="7"/>
      <c r="O16" s="7"/>
      <c r="P16" s="16">
        <f t="shared" si="1"/>
        <v>5008.0200000000004</v>
      </c>
      <c r="Q16" s="7">
        <v>128.94</v>
      </c>
      <c r="R16" s="7">
        <v>398.59</v>
      </c>
      <c r="S16" s="7">
        <f>11+36.24</f>
        <v>47.24</v>
      </c>
      <c r="T16" s="7">
        <v>152.19</v>
      </c>
      <c r="U16" s="16">
        <f t="shared" si="3"/>
        <v>726.96</v>
      </c>
      <c r="V16" s="16">
        <f t="shared" si="2"/>
        <v>4281.0600000000004</v>
      </c>
    </row>
    <row r="17" spans="1:22" x14ac:dyDescent="0.25">
      <c r="A17" s="5" t="s">
        <v>27</v>
      </c>
      <c r="B17" s="6" t="s">
        <v>66</v>
      </c>
      <c r="C17" s="6" t="s">
        <v>86</v>
      </c>
      <c r="D17" s="16">
        <v>8287.5</v>
      </c>
      <c r="E17" s="7"/>
      <c r="F17" s="7"/>
      <c r="G17" s="7">
        <f>108.77+18.13</f>
        <v>126.89999999999999</v>
      </c>
      <c r="H17" s="7">
        <v>693</v>
      </c>
      <c r="I17" s="7">
        <v>180.6</v>
      </c>
      <c r="J17" s="7"/>
      <c r="K17" s="7"/>
      <c r="L17" s="16">
        <f t="shared" si="0"/>
        <v>873.6</v>
      </c>
      <c r="M17" s="7"/>
      <c r="N17" s="7"/>
      <c r="O17" s="7"/>
      <c r="P17" s="16">
        <f t="shared" si="1"/>
        <v>9288</v>
      </c>
      <c r="Q17" s="7">
        <v>1277.28</v>
      </c>
      <c r="R17" s="7">
        <v>608.44000000000005</v>
      </c>
      <c r="S17" s="7"/>
      <c r="T17" s="7">
        <v>180.6</v>
      </c>
      <c r="U17" s="16">
        <f t="shared" si="3"/>
        <v>2066.3200000000002</v>
      </c>
      <c r="V17" s="16">
        <f t="shared" si="2"/>
        <v>7221.68</v>
      </c>
    </row>
    <row r="18" spans="1:22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/>
      <c r="H18" s="7">
        <v>693</v>
      </c>
      <c r="I18" s="7"/>
      <c r="J18" s="7"/>
      <c r="K18" s="7"/>
      <c r="L18" s="16">
        <f t="shared" si="0"/>
        <v>693</v>
      </c>
      <c r="M18" s="7"/>
      <c r="N18" s="7"/>
      <c r="O18" s="7"/>
      <c r="P18" s="16">
        <f t="shared" si="1"/>
        <v>8980.5</v>
      </c>
      <c r="Q18" s="7">
        <v>1242.3800000000001</v>
      </c>
      <c r="R18" s="7">
        <v>608.44000000000005</v>
      </c>
      <c r="S18" s="7">
        <v>22</v>
      </c>
      <c r="T18" s="7"/>
      <c r="U18" s="16">
        <f t="shared" si="3"/>
        <v>1872.8200000000002</v>
      </c>
      <c r="V18" s="16">
        <f t="shared" si="2"/>
        <v>7107.68</v>
      </c>
    </row>
    <row r="19" spans="1:22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v>693</v>
      </c>
      <c r="I19" s="7"/>
      <c r="J19" s="7">
        <v>483.98</v>
      </c>
      <c r="K19" s="7"/>
      <c r="L19" s="16">
        <f t="shared" si="0"/>
        <v>1176.98</v>
      </c>
      <c r="M19" s="7"/>
      <c r="N19" s="7"/>
      <c r="O19" s="7"/>
      <c r="P19" s="16">
        <f t="shared" si="1"/>
        <v>13886.64</v>
      </c>
      <c r="Q19" s="7">
        <v>2458.48</v>
      </c>
      <c r="R19" s="7">
        <v>608.44000000000005</v>
      </c>
      <c r="S19" s="7"/>
      <c r="T19" s="7"/>
      <c r="U19" s="16">
        <f t="shared" si="3"/>
        <v>3066.92</v>
      </c>
      <c r="V19" s="16">
        <f t="shared" si="2"/>
        <v>10819.72</v>
      </c>
    </row>
    <row r="20" spans="1:22" x14ac:dyDescent="0.25">
      <c r="A20" s="5" t="s">
        <v>32</v>
      </c>
      <c r="B20" s="6" t="s">
        <v>70</v>
      </c>
      <c r="C20" s="6" t="s">
        <v>90</v>
      </c>
      <c r="D20" s="16">
        <v>2415.6799999999998</v>
      </c>
      <c r="E20" s="7">
        <f>1207.84+52.43+1.36+21.65</f>
        <v>1283.28</v>
      </c>
      <c r="F20" s="7"/>
      <c r="G20" s="7">
        <f>50.28+27.18+12.91</f>
        <v>90.37</v>
      </c>
      <c r="H20" s="7">
        <v>495</v>
      </c>
      <c r="I20" s="7"/>
      <c r="J20" s="7"/>
      <c r="K20" s="7"/>
      <c r="L20" s="16">
        <f t="shared" si="0"/>
        <v>495</v>
      </c>
      <c r="M20" s="7">
        <v>423.53</v>
      </c>
      <c r="N20" s="7"/>
      <c r="O20" s="7"/>
      <c r="P20" s="16">
        <f t="shared" si="1"/>
        <v>4707.8599999999997</v>
      </c>
      <c r="Q20" s="7"/>
      <c r="R20" s="7">
        <f>273.44+152.47</f>
        <v>425.90999999999997</v>
      </c>
      <c r="S20" s="7">
        <f>112.03+95.42+120.78+24.16</f>
        <v>352.39000000000004</v>
      </c>
      <c r="T20" s="7"/>
      <c r="U20" s="16">
        <f t="shared" si="3"/>
        <v>778.3</v>
      </c>
      <c r="V20" s="16">
        <f t="shared" si="2"/>
        <v>3929.5599999999995</v>
      </c>
    </row>
    <row r="21" spans="1:22" x14ac:dyDescent="0.25">
      <c r="A21" s="5" t="s">
        <v>33</v>
      </c>
      <c r="B21" s="6" t="s">
        <v>58</v>
      </c>
      <c r="C21" s="6" t="s">
        <v>81</v>
      </c>
      <c r="D21" s="16">
        <v>1932.54</v>
      </c>
      <c r="E21" s="7">
        <f>1690.98+18.07+1+12.67</f>
        <v>1722.72</v>
      </c>
      <c r="F21" s="7"/>
      <c r="G21" s="7">
        <f>57.98+9.66</f>
        <v>67.64</v>
      </c>
      <c r="H21" s="7">
        <v>363</v>
      </c>
      <c r="I21" s="7"/>
      <c r="J21" s="7">
        <v>318.41000000000003</v>
      </c>
      <c r="K21" s="7"/>
      <c r="L21" s="16">
        <f t="shared" si="0"/>
        <v>681.41000000000008</v>
      </c>
      <c r="M21" s="7">
        <v>571.08000000000004</v>
      </c>
      <c r="N21" s="7"/>
      <c r="O21" s="7"/>
      <c r="P21" s="16">
        <f t="shared" si="1"/>
        <v>4975.3900000000003</v>
      </c>
      <c r="Q21" s="29"/>
      <c r="R21" s="29">
        <v>461.43</v>
      </c>
      <c r="S21" s="29">
        <v>89.68</v>
      </c>
      <c r="T21" s="29"/>
      <c r="U21" s="28">
        <f>Q21+R21+S21+T21</f>
        <v>551.11</v>
      </c>
      <c r="V21" s="16">
        <f>P21-U21</f>
        <v>4424.2800000000007</v>
      </c>
    </row>
    <row r="22" spans="1:22" x14ac:dyDescent="0.25">
      <c r="A22" s="5" t="s">
        <v>34</v>
      </c>
      <c r="B22" s="6" t="s">
        <v>67</v>
      </c>
      <c r="C22" s="6" t="s">
        <v>85</v>
      </c>
      <c r="D22" s="16">
        <v>8287.5</v>
      </c>
      <c r="E22" s="7"/>
      <c r="F22" s="7"/>
      <c r="G22" s="7"/>
      <c r="H22" s="7">
        <v>693</v>
      </c>
      <c r="I22" s="7"/>
      <c r="J22" s="7">
        <v>424.17</v>
      </c>
      <c r="K22" s="7"/>
      <c r="L22" s="16">
        <f t="shared" si="0"/>
        <v>1117.17</v>
      </c>
      <c r="M22" s="7"/>
      <c r="N22" s="7"/>
      <c r="O22" s="7"/>
      <c r="P22" s="16">
        <f t="shared" si="1"/>
        <v>9404.67</v>
      </c>
      <c r="Q22" s="7">
        <v>1242.3800000000001</v>
      </c>
      <c r="R22" s="7">
        <v>608.44000000000005</v>
      </c>
      <c r="S22" s="7"/>
      <c r="T22" s="7"/>
      <c r="U22" s="16">
        <f t="shared" si="3"/>
        <v>1850.8200000000002</v>
      </c>
      <c r="V22" s="16">
        <f t="shared" si="2"/>
        <v>7553.85</v>
      </c>
    </row>
    <row r="23" spans="1:22" x14ac:dyDescent="0.25">
      <c r="A23" s="5" t="s">
        <v>110</v>
      </c>
      <c r="B23" s="6" t="s">
        <v>62</v>
      </c>
      <c r="C23" s="6" t="s">
        <v>93</v>
      </c>
      <c r="D23" s="16">
        <v>898.79</v>
      </c>
      <c r="E23" s="7"/>
      <c r="F23" s="7"/>
      <c r="G23" s="7"/>
      <c r="H23" s="7">
        <v>693</v>
      </c>
      <c r="I23" s="7">
        <v>336</v>
      </c>
      <c r="J23" s="7"/>
      <c r="K23" s="7"/>
      <c r="L23" s="16">
        <f t="shared" si="0"/>
        <v>1029</v>
      </c>
      <c r="M23" s="7"/>
      <c r="N23" s="7"/>
      <c r="O23" s="7"/>
      <c r="P23" s="16">
        <f t="shared" si="1"/>
        <v>1927.79</v>
      </c>
      <c r="Q23" s="7"/>
      <c r="R23" s="7"/>
      <c r="S23" s="7"/>
      <c r="T23" s="7"/>
      <c r="U23" s="16">
        <f t="shared" si="3"/>
        <v>0</v>
      </c>
      <c r="V23" s="16">
        <f t="shared" si="2"/>
        <v>1927.79</v>
      </c>
    </row>
    <row r="24" spans="1:22" x14ac:dyDescent="0.25">
      <c r="A24" s="5" t="s">
        <v>107</v>
      </c>
      <c r="B24" s="15" t="s">
        <v>71</v>
      </c>
      <c r="C24" s="6" t="s">
        <v>87</v>
      </c>
      <c r="D24" s="16">
        <v>6995.3</v>
      </c>
      <c r="E24" s="7"/>
      <c r="F24" s="7"/>
      <c r="G24" s="7"/>
      <c r="H24" s="7">
        <v>693</v>
      </c>
      <c r="I24" s="7">
        <v>180.6</v>
      </c>
      <c r="J24" s="7">
        <v>421.59</v>
      </c>
      <c r="K24" s="7"/>
      <c r="L24" s="16">
        <f t="shared" si="0"/>
        <v>1295.19</v>
      </c>
      <c r="M24" s="7"/>
      <c r="N24" s="7"/>
      <c r="O24" s="7"/>
      <c r="P24" s="16">
        <f t="shared" si="1"/>
        <v>8290.49</v>
      </c>
      <c r="Q24" s="7">
        <v>860.74</v>
      </c>
      <c r="R24" s="7">
        <v>608.44000000000005</v>
      </c>
      <c r="S24" s="7">
        <f>55.96+39.64</f>
        <v>95.6</v>
      </c>
      <c r="T24" s="7">
        <v>180.6</v>
      </c>
      <c r="U24" s="16">
        <f t="shared" si="3"/>
        <v>1745.3799999999999</v>
      </c>
      <c r="V24" s="16">
        <f t="shared" si="2"/>
        <v>6545.11</v>
      </c>
    </row>
    <row r="25" spans="1:22" x14ac:dyDescent="0.25">
      <c r="A25" s="5" t="s">
        <v>126</v>
      </c>
      <c r="B25" s="6" t="s">
        <v>62</v>
      </c>
      <c r="C25" s="6" t="s">
        <v>89</v>
      </c>
      <c r="D25" s="16">
        <v>898.79</v>
      </c>
      <c r="E25" s="7"/>
      <c r="F25" s="7"/>
      <c r="G25" s="7"/>
      <c r="H25" s="7">
        <v>693</v>
      </c>
      <c r="I25" s="7">
        <v>180.6</v>
      </c>
      <c r="J25" s="7"/>
      <c r="K25" s="7"/>
      <c r="L25" s="16">
        <f t="shared" si="0"/>
        <v>873.6</v>
      </c>
      <c r="M25" s="7"/>
      <c r="N25" s="7"/>
      <c r="O25" s="7"/>
      <c r="P25" s="16">
        <f t="shared" si="1"/>
        <v>1772.3899999999999</v>
      </c>
      <c r="Q25" s="7"/>
      <c r="R25" s="7"/>
      <c r="S25" s="7"/>
      <c r="T25" s="7"/>
      <c r="U25" s="16">
        <f t="shared" si="3"/>
        <v>0</v>
      </c>
      <c r="V25" s="16">
        <f t="shared" si="2"/>
        <v>1772.3899999999999</v>
      </c>
    </row>
    <row r="26" spans="1:22" x14ac:dyDescent="0.25">
      <c r="A26" s="11" t="s">
        <v>35</v>
      </c>
      <c r="B26" s="13" t="s">
        <v>59</v>
      </c>
      <c r="C26" s="6" t="s">
        <v>89</v>
      </c>
      <c r="D26" s="16">
        <v>3623.52</v>
      </c>
      <c r="E26" s="7"/>
      <c r="F26" s="7"/>
      <c r="G26" s="7"/>
      <c r="H26" s="7">
        <v>693</v>
      </c>
      <c r="I26" s="7">
        <v>516.6</v>
      </c>
      <c r="J26" s="7"/>
      <c r="K26" s="7"/>
      <c r="L26" s="16">
        <f t="shared" si="0"/>
        <v>1209.5999999999999</v>
      </c>
      <c r="M26" s="7"/>
      <c r="N26" s="7"/>
      <c r="O26" s="7"/>
      <c r="P26" s="16">
        <f t="shared" si="1"/>
        <v>4833.12</v>
      </c>
      <c r="Q26" s="7">
        <v>128.13</v>
      </c>
      <c r="R26" s="7">
        <v>397.92</v>
      </c>
      <c r="S26" s="7">
        <f>2.11+3.93</f>
        <v>6.04</v>
      </c>
      <c r="T26" s="7">
        <v>152.19</v>
      </c>
      <c r="U26" s="16">
        <f t="shared" si="3"/>
        <v>684.28</v>
      </c>
      <c r="V26" s="16">
        <f t="shared" si="2"/>
        <v>4148.84</v>
      </c>
    </row>
    <row r="27" spans="1:22" x14ac:dyDescent="0.25">
      <c r="A27" s="5" t="s">
        <v>36</v>
      </c>
      <c r="B27" s="6" t="s">
        <v>67</v>
      </c>
      <c r="C27" s="6" t="s">
        <v>85</v>
      </c>
      <c r="D27" s="16">
        <v>8287.5</v>
      </c>
      <c r="E27" s="7"/>
      <c r="F27" s="7"/>
      <c r="G27" s="7"/>
      <c r="H27" s="7">
        <v>693</v>
      </c>
      <c r="I27" s="7"/>
      <c r="J27" s="7">
        <v>318.41000000000003</v>
      </c>
      <c r="K27" s="7"/>
      <c r="L27" s="16">
        <f t="shared" si="0"/>
        <v>1011.4100000000001</v>
      </c>
      <c r="M27" s="7"/>
      <c r="N27" s="7"/>
      <c r="O27" s="7"/>
      <c r="P27" s="16">
        <f t="shared" si="1"/>
        <v>9298.91</v>
      </c>
      <c r="Q27" s="7">
        <v>1242.3800000000001</v>
      </c>
      <c r="R27" s="7">
        <v>608.44000000000005</v>
      </c>
      <c r="S27" s="7">
        <v>11</v>
      </c>
      <c r="T27" s="7"/>
      <c r="U27" s="16">
        <f t="shared" si="3"/>
        <v>1861.8200000000002</v>
      </c>
      <c r="V27" s="16">
        <f t="shared" si="2"/>
        <v>7437.09</v>
      </c>
    </row>
    <row r="28" spans="1:22" x14ac:dyDescent="0.25">
      <c r="A28" s="11" t="s">
        <v>119</v>
      </c>
      <c r="B28" s="13" t="s">
        <v>62</v>
      </c>
      <c r="C28" s="6" t="s">
        <v>86</v>
      </c>
      <c r="D28" s="16">
        <v>898.79</v>
      </c>
      <c r="E28" s="7"/>
      <c r="F28" s="7"/>
      <c r="G28" s="7"/>
      <c r="H28" s="7">
        <v>693</v>
      </c>
      <c r="I28" s="7">
        <v>159.6</v>
      </c>
      <c r="J28" s="7"/>
      <c r="K28" s="7"/>
      <c r="L28" s="16">
        <f t="shared" si="0"/>
        <v>852.6</v>
      </c>
      <c r="M28" s="7"/>
      <c r="N28" s="7"/>
      <c r="O28" s="7"/>
      <c r="P28" s="16">
        <f>D28</f>
        <v>898.79</v>
      </c>
      <c r="Q28" s="7"/>
      <c r="R28" s="7"/>
      <c r="S28" s="7"/>
      <c r="T28" s="7"/>
      <c r="U28" s="16">
        <f t="shared" si="3"/>
        <v>0</v>
      </c>
      <c r="V28" s="16">
        <f t="shared" si="2"/>
        <v>898.79</v>
      </c>
    </row>
    <row r="29" spans="1:22" x14ac:dyDescent="0.25">
      <c r="A29" s="11" t="s">
        <v>120</v>
      </c>
      <c r="B29" s="13" t="s">
        <v>74</v>
      </c>
      <c r="C29" s="6" t="s">
        <v>84</v>
      </c>
      <c r="D29" s="16">
        <v>12709.66</v>
      </c>
      <c r="E29" s="7"/>
      <c r="F29" s="7"/>
      <c r="G29" s="7"/>
      <c r="H29" s="7">
        <v>693</v>
      </c>
      <c r="I29" s="7">
        <v>180.6</v>
      </c>
      <c r="J29" s="7"/>
      <c r="K29" s="7"/>
      <c r="L29" s="16">
        <f t="shared" si="0"/>
        <v>873.6</v>
      </c>
      <c r="M29" s="7"/>
      <c r="N29" s="7"/>
      <c r="O29" s="7"/>
      <c r="P29" s="16">
        <f>D29+E29+F29+G29+J29+K29+L29+M29+N29+O29</f>
        <v>13583.26</v>
      </c>
      <c r="Q29" s="7">
        <v>2458.48</v>
      </c>
      <c r="R29" s="7">
        <v>608.44000000000005</v>
      </c>
      <c r="S29" s="7">
        <v>423.66</v>
      </c>
      <c r="T29" s="7">
        <v>180.6</v>
      </c>
      <c r="U29" s="16">
        <f t="shared" si="3"/>
        <v>3671.18</v>
      </c>
      <c r="V29" s="16">
        <f t="shared" si="2"/>
        <v>9912.08</v>
      </c>
    </row>
    <row r="30" spans="1:22" x14ac:dyDescent="0.25">
      <c r="A30" s="5" t="s">
        <v>37</v>
      </c>
      <c r="B30" s="6" t="s">
        <v>66</v>
      </c>
      <c r="C30" s="6" t="s">
        <v>86</v>
      </c>
      <c r="D30" s="16">
        <v>8287.5</v>
      </c>
      <c r="E30" s="10"/>
      <c r="F30" s="7"/>
      <c r="G30" s="7"/>
      <c r="H30" s="7">
        <v>693</v>
      </c>
      <c r="I30" s="7">
        <v>180.6</v>
      </c>
      <c r="J30" s="7">
        <v>372.31</v>
      </c>
      <c r="K30" s="7"/>
      <c r="L30" s="16">
        <f t="shared" si="0"/>
        <v>1245.9100000000001</v>
      </c>
      <c r="M30" s="7"/>
      <c r="N30" s="7"/>
      <c r="O30" s="7"/>
      <c r="P30" s="16">
        <f t="shared" ref="P30:P53" si="4">D30+E30+F30+G30+L30+M30+N30+O30</f>
        <v>9533.41</v>
      </c>
      <c r="Q30" s="7">
        <v>1170.78</v>
      </c>
      <c r="R30" s="7">
        <v>608.44000000000005</v>
      </c>
      <c r="S30" s="7">
        <f>144.34+116.03</f>
        <v>260.37</v>
      </c>
      <c r="T30" s="7">
        <v>180.6</v>
      </c>
      <c r="U30" s="16">
        <f t="shared" si="3"/>
        <v>2220.19</v>
      </c>
      <c r="V30" s="16">
        <f t="shared" si="2"/>
        <v>7313.2199999999993</v>
      </c>
    </row>
    <row r="31" spans="1:22" x14ac:dyDescent="0.25">
      <c r="A31" s="6" t="s">
        <v>38</v>
      </c>
      <c r="B31" s="6" t="s">
        <v>59</v>
      </c>
      <c r="C31" s="6" t="s">
        <v>89</v>
      </c>
      <c r="D31" s="16">
        <v>3623.52</v>
      </c>
      <c r="E31" s="7"/>
      <c r="F31" s="7"/>
      <c r="G31" s="7"/>
      <c r="H31" s="7">
        <v>693</v>
      </c>
      <c r="I31" s="7">
        <v>516.6</v>
      </c>
      <c r="J31" s="7"/>
      <c r="K31" s="7"/>
      <c r="L31" s="16">
        <f t="shared" si="0"/>
        <v>1209.5999999999999</v>
      </c>
      <c r="M31" s="7"/>
      <c r="N31" s="7"/>
      <c r="O31" s="7"/>
      <c r="P31" s="16">
        <f t="shared" si="4"/>
        <v>4833.12</v>
      </c>
      <c r="Q31" s="7">
        <v>109.39</v>
      </c>
      <c r="R31" s="7">
        <v>382.48</v>
      </c>
      <c r="S31" s="7">
        <f>31.4+115.05+11</f>
        <v>157.44999999999999</v>
      </c>
      <c r="T31" s="7">
        <v>152.19</v>
      </c>
      <c r="U31" s="16">
        <f t="shared" si="3"/>
        <v>801.51</v>
      </c>
      <c r="V31" s="16">
        <f t="shared" si="2"/>
        <v>4031.6099999999997</v>
      </c>
    </row>
    <row r="32" spans="1:22" x14ac:dyDescent="0.25">
      <c r="A32" s="6" t="s">
        <v>39</v>
      </c>
      <c r="B32" s="6" t="s">
        <v>72</v>
      </c>
      <c r="C32" s="6" t="s">
        <v>86</v>
      </c>
      <c r="D32" s="16">
        <v>12709.66</v>
      </c>
      <c r="E32" s="7"/>
      <c r="F32" s="7"/>
      <c r="G32" s="7"/>
      <c r="H32" s="7">
        <v>693</v>
      </c>
      <c r="I32" s="7">
        <v>1209.81</v>
      </c>
      <c r="J32" s="7"/>
      <c r="K32" s="7">
        <f>260+260</f>
        <v>520</v>
      </c>
      <c r="L32" s="16">
        <f t="shared" si="0"/>
        <v>2422.81</v>
      </c>
      <c r="M32" s="7"/>
      <c r="N32" s="7"/>
      <c r="O32" s="7"/>
      <c r="P32" s="16">
        <f t="shared" si="4"/>
        <v>15132.47</v>
      </c>
      <c r="Q32" s="7">
        <v>2458.48</v>
      </c>
      <c r="R32" s="7">
        <v>608.44000000000005</v>
      </c>
      <c r="S32" s="7"/>
      <c r="T32" s="7">
        <v>533.80999999999995</v>
      </c>
      <c r="U32" s="16">
        <f t="shared" si="3"/>
        <v>3600.73</v>
      </c>
      <c r="V32" s="16">
        <f t="shared" si="2"/>
        <v>11531.74</v>
      </c>
    </row>
    <row r="33" spans="1:22" x14ac:dyDescent="0.25">
      <c r="A33" s="6" t="s">
        <v>40</v>
      </c>
      <c r="B33" s="6" t="s">
        <v>73</v>
      </c>
      <c r="C33" s="6" t="s">
        <v>83</v>
      </c>
      <c r="D33" s="16">
        <v>3623.52</v>
      </c>
      <c r="E33" s="7"/>
      <c r="F33" s="7"/>
      <c r="G33" s="7"/>
      <c r="H33" s="7">
        <v>693</v>
      </c>
      <c r="I33" s="7">
        <v>357</v>
      </c>
      <c r="J33" s="7"/>
      <c r="K33" s="7"/>
      <c r="L33" s="16">
        <f t="shared" si="0"/>
        <v>1050</v>
      </c>
      <c r="M33" s="7"/>
      <c r="N33" s="7"/>
      <c r="O33" s="7"/>
      <c r="P33" s="16">
        <f t="shared" si="4"/>
        <v>4673.5200000000004</v>
      </c>
      <c r="Q33" s="7">
        <v>109.71</v>
      </c>
      <c r="R33" s="7">
        <v>382.74</v>
      </c>
      <c r="S33" s="7">
        <f>69.75+74.28+11</f>
        <v>155.03</v>
      </c>
      <c r="T33" s="7">
        <v>152.19</v>
      </c>
      <c r="U33" s="16">
        <f t="shared" si="3"/>
        <v>799.67000000000007</v>
      </c>
      <c r="V33" s="16">
        <f t="shared" si="2"/>
        <v>3873.8500000000004</v>
      </c>
    </row>
    <row r="34" spans="1:22" x14ac:dyDescent="0.25">
      <c r="A34" s="6" t="s">
        <v>41</v>
      </c>
      <c r="B34" s="6" t="s">
        <v>82</v>
      </c>
      <c r="C34" s="6" t="s">
        <v>82</v>
      </c>
      <c r="D34" s="16">
        <v>9677.56</v>
      </c>
      <c r="E34" s="7"/>
      <c r="F34" s="7"/>
      <c r="G34" s="7"/>
      <c r="H34" s="7">
        <v>693</v>
      </c>
      <c r="I34" s="7">
        <v>180.6</v>
      </c>
      <c r="J34" s="16">
        <v>1236.0899999999999</v>
      </c>
      <c r="K34" s="7"/>
      <c r="L34" s="16">
        <f t="shared" si="0"/>
        <v>2109.69</v>
      </c>
      <c r="M34" s="7"/>
      <c r="N34" s="7"/>
      <c r="O34" s="7"/>
      <c r="P34" s="16">
        <f t="shared" si="4"/>
        <v>11787.25</v>
      </c>
      <c r="Q34" s="7">
        <v>1624.65</v>
      </c>
      <c r="R34" s="7">
        <v>608.44000000000005</v>
      </c>
      <c r="S34" s="7"/>
      <c r="T34" s="7">
        <v>180.6</v>
      </c>
      <c r="U34" s="16">
        <f t="shared" si="3"/>
        <v>2413.69</v>
      </c>
      <c r="V34" s="16">
        <f t="shared" si="2"/>
        <v>9373.56</v>
      </c>
    </row>
    <row r="35" spans="1:22" x14ac:dyDescent="0.25">
      <c r="A35" s="5" t="s">
        <v>106</v>
      </c>
      <c r="B35" s="6" t="s">
        <v>62</v>
      </c>
      <c r="C35" s="6" t="s">
        <v>91</v>
      </c>
      <c r="D35" s="16">
        <v>868.83</v>
      </c>
      <c r="E35" s="7"/>
      <c r="F35" s="7"/>
      <c r="G35" s="7"/>
      <c r="H35" s="7">
        <v>693</v>
      </c>
      <c r="I35" s="7">
        <v>159.6</v>
      </c>
      <c r="J35" s="7"/>
      <c r="K35" s="7"/>
      <c r="L35" s="16">
        <f t="shared" si="0"/>
        <v>852.6</v>
      </c>
      <c r="M35" s="7"/>
      <c r="N35" s="7"/>
      <c r="O35" s="7"/>
      <c r="P35" s="16">
        <f t="shared" si="4"/>
        <v>1721.43</v>
      </c>
      <c r="Q35" s="7"/>
      <c r="R35" s="7"/>
      <c r="S35" s="7"/>
      <c r="T35" s="7"/>
      <c r="U35" s="16">
        <f t="shared" si="3"/>
        <v>0</v>
      </c>
      <c r="V35" s="16">
        <f t="shared" si="2"/>
        <v>1721.43</v>
      </c>
    </row>
    <row r="36" spans="1:22" x14ac:dyDescent="0.25">
      <c r="A36" s="6" t="s">
        <v>43</v>
      </c>
      <c r="B36" s="6" t="s">
        <v>76</v>
      </c>
      <c r="C36" s="6" t="s">
        <v>91</v>
      </c>
      <c r="D36" s="16">
        <v>4430.3599999999997</v>
      </c>
      <c r="E36" s="7">
        <f>2564.94+220.72+5.25</f>
        <v>2790.91</v>
      </c>
      <c r="F36" s="7"/>
      <c r="G36" s="7">
        <f>185.38+30.9</f>
        <v>216.28</v>
      </c>
      <c r="H36" s="7">
        <v>396</v>
      </c>
      <c r="I36" s="7">
        <v>103.2</v>
      </c>
      <c r="J36" s="7"/>
      <c r="K36" s="7"/>
      <c r="L36" s="16">
        <f t="shared" si="0"/>
        <v>499.2</v>
      </c>
      <c r="M36" s="7">
        <v>942.86</v>
      </c>
      <c r="N36" s="7"/>
      <c r="O36" s="7"/>
      <c r="P36" s="16">
        <f t="shared" si="4"/>
        <v>8879.6099999999988</v>
      </c>
      <c r="Q36" s="7">
        <f>359.38+148.69</f>
        <v>508.07</v>
      </c>
      <c r="R36" s="7">
        <f>193.58+414.86</f>
        <v>608.44000000000005</v>
      </c>
      <c r="S36" s="7">
        <f>19.24+9.33</f>
        <v>28.57</v>
      </c>
      <c r="T36" s="7">
        <v>103.2</v>
      </c>
      <c r="U36" s="16">
        <f t="shared" si="3"/>
        <v>1248.28</v>
      </c>
      <c r="V36" s="16">
        <f t="shared" si="2"/>
        <v>7631.329999999999</v>
      </c>
    </row>
    <row r="37" spans="1:22" x14ac:dyDescent="0.25">
      <c r="A37" s="6" t="s">
        <v>44</v>
      </c>
      <c r="B37" s="6" t="s">
        <v>70</v>
      </c>
      <c r="C37" s="6" t="s">
        <v>90</v>
      </c>
      <c r="D37" s="16">
        <v>3623.52</v>
      </c>
      <c r="E37" s="7"/>
      <c r="F37" s="7"/>
      <c r="G37" s="7">
        <f>15.4+49.82+32.61+16.31</f>
        <v>114.14</v>
      </c>
      <c r="H37" s="7">
        <v>693</v>
      </c>
      <c r="I37" s="7">
        <v>273</v>
      </c>
      <c r="J37" s="7">
        <v>424.17</v>
      </c>
      <c r="K37" s="7"/>
      <c r="L37" s="16">
        <f t="shared" ref="L37:L53" si="5">H37+I37+K37+J37</f>
        <v>1390.17</v>
      </c>
      <c r="M37" s="7"/>
      <c r="N37" s="7"/>
      <c r="O37" s="7"/>
      <c r="P37" s="16">
        <f t="shared" si="4"/>
        <v>5127.83</v>
      </c>
      <c r="Q37" s="7">
        <v>144.18</v>
      </c>
      <c r="R37" s="7">
        <v>411.14</v>
      </c>
      <c r="S37" s="7">
        <v>11</v>
      </c>
      <c r="T37" s="7">
        <v>152.19</v>
      </c>
      <c r="U37" s="16">
        <f t="shared" si="3"/>
        <v>718.51</v>
      </c>
      <c r="V37" s="16">
        <f t="shared" ref="V37:V53" si="6">P37-U37</f>
        <v>4409.32</v>
      </c>
    </row>
    <row r="38" spans="1:22" x14ac:dyDescent="0.25">
      <c r="A38" s="5" t="s">
        <v>45</v>
      </c>
      <c r="B38" s="6" t="s">
        <v>58</v>
      </c>
      <c r="C38" s="6" t="s">
        <v>81</v>
      </c>
      <c r="D38" s="16">
        <v>3623.52</v>
      </c>
      <c r="E38" s="7"/>
      <c r="F38" s="7"/>
      <c r="G38" s="7"/>
      <c r="H38" s="7">
        <v>693</v>
      </c>
      <c r="I38" s="7">
        <v>373.8</v>
      </c>
      <c r="J38" s="7">
        <v>386.21</v>
      </c>
      <c r="K38" s="7"/>
      <c r="L38" s="16">
        <f t="shared" si="5"/>
        <v>1453.01</v>
      </c>
      <c r="M38" s="10"/>
      <c r="N38" s="7"/>
      <c r="O38" s="7"/>
      <c r="P38" s="16">
        <f t="shared" si="4"/>
        <v>5076.53</v>
      </c>
      <c r="Q38" s="7">
        <v>126.76</v>
      </c>
      <c r="R38" s="7">
        <v>396.79</v>
      </c>
      <c r="S38" s="7">
        <f>2.11+14.19+36.24</f>
        <v>52.540000000000006</v>
      </c>
      <c r="T38" s="7">
        <v>152.19</v>
      </c>
      <c r="U38" s="16">
        <f t="shared" si="3"/>
        <v>728.28</v>
      </c>
      <c r="V38" s="16">
        <f t="shared" si="6"/>
        <v>4348.25</v>
      </c>
    </row>
    <row r="39" spans="1:22" x14ac:dyDescent="0.25">
      <c r="A39" s="6" t="s">
        <v>46</v>
      </c>
      <c r="B39" s="6" t="s">
        <v>58</v>
      </c>
      <c r="C39" s="6" t="s">
        <v>81</v>
      </c>
      <c r="D39" s="16">
        <v>2657.25</v>
      </c>
      <c r="E39" s="7">
        <f>966.27+31.44+0.57+5.24</f>
        <v>1003.5200000000001</v>
      </c>
      <c r="F39" s="7"/>
      <c r="G39" s="7"/>
      <c r="H39" s="7">
        <v>495</v>
      </c>
      <c r="I39" s="7">
        <v>375</v>
      </c>
      <c r="J39" s="7">
        <v>318.41000000000003</v>
      </c>
      <c r="K39" s="7"/>
      <c r="L39" s="16">
        <f t="shared" si="5"/>
        <v>1188.4100000000001</v>
      </c>
      <c r="M39" s="7">
        <v>334.54</v>
      </c>
      <c r="N39" s="7"/>
      <c r="O39" s="7"/>
      <c r="P39" s="16">
        <f t="shared" si="4"/>
        <v>5183.72</v>
      </c>
      <c r="Q39" s="7">
        <f>20.78+81.02</f>
        <v>101.8</v>
      </c>
      <c r="R39" s="7">
        <f>314.68+107.05</f>
        <v>421.73</v>
      </c>
      <c r="S39" s="7">
        <f>40.76+120.78+11+26.57</f>
        <v>199.10999999999999</v>
      </c>
      <c r="T39" s="7">
        <v>108.71</v>
      </c>
      <c r="U39" s="16">
        <f t="shared" si="3"/>
        <v>831.35</v>
      </c>
      <c r="V39" s="16">
        <f t="shared" si="6"/>
        <v>4352.37</v>
      </c>
    </row>
    <row r="40" spans="1:22" x14ac:dyDescent="0.25">
      <c r="A40" s="5" t="s">
        <v>104</v>
      </c>
      <c r="B40" s="6" t="s">
        <v>59</v>
      </c>
      <c r="C40" s="6" t="s">
        <v>89</v>
      </c>
      <c r="D40" s="16">
        <v>3623.52</v>
      </c>
      <c r="E40" s="7"/>
      <c r="F40" s="7"/>
      <c r="G40" s="7">
        <f>39.41+6.57</f>
        <v>45.98</v>
      </c>
      <c r="H40" s="7">
        <v>693</v>
      </c>
      <c r="I40" s="7">
        <v>373.8</v>
      </c>
      <c r="J40" s="7">
        <v>419.03</v>
      </c>
      <c r="K40" s="7"/>
      <c r="L40" s="16">
        <f t="shared" si="5"/>
        <v>1485.83</v>
      </c>
      <c r="M40" s="7"/>
      <c r="N40" s="7"/>
      <c r="O40" s="7"/>
      <c r="P40" s="16">
        <f t="shared" si="4"/>
        <v>5155.33</v>
      </c>
      <c r="Q40" s="7">
        <v>84.09</v>
      </c>
      <c r="R40" s="7">
        <v>361.63</v>
      </c>
      <c r="S40" s="7">
        <f>7.25+12.38+11+362.34</f>
        <v>392.96999999999997</v>
      </c>
      <c r="T40" s="7">
        <v>152.19</v>
      </c>
      <c r="U40" s="16">
        <f t="shared" si="3"/>
        <v>990.88000000000011</v>
      </c>
      <c r="V40" s="16">
        <f t="shared" si="6"/>
        <v>4164.45</v>
      </c>
    </row>
    <row r="41" spans="1:22" x14ac:dyDescent="0.25">
      <c r="A41" s="6" t="s">
        <v>112</v>
      </c>
      <c r="B41" s="6" t="s">
        <v>66</v>
      </c>
      <c r="C41" s="6" t="s">
        <v>86</v>
      </c>
      <c r="D41" s="16">
        <v>8287.5</v>
      </c>
      <c r="E41" s="7"/>
      <c r="F41" s="7"/>
      <c r="G41" s="7"/>
      <c r="H41" s="7">
        <v>693</v>
      </c>
      <c r="I41" s="7">
        <v>56</v>
      </c>
      <c r="J41" s="7">
        <v>351.3</v>
      </c>
      <c r="K41" s="7"/>
      <c r="L41" s="16">
        <f t="shared" si="5"/>
        <v>1100.3</v>
      </c>
      <c r="M41" s="7"/>
      <c r="N41" s="7"/>
      <c r="O41" s="7"/>
      <c r="P41" s="16">
        <f t="shared" si="4"/>
        <v>9387.7999999999993</v>
      </c>
      <c r="Q41" s="7">
        <v>1172.2</v>
      </c>
      <c r="R41" s="7">
        <v>608.44000000000005</v>
      </c>
      <c r="S41" s="7">
        <f>25.55+40.06</f>
        <v>65.61</v>
      </c>
      <c r="T41" s="7"/>
      <c r="U41" s="16">
        <f t="shared" si="3"/>
        <v>1846.25</v>
      </c>
      <c r="V41" s="16">
        <f t="shared" si="6"/>
        <v>7541.5499999999993</v>
      </c>
    </row>
    <row r="42" spans="1:22" x14ac:dyDescent="0.25">
      <c r="A42" s="5" t="s">
        <v>47</v>
      </c>
      <c r="B42" s="6" t="s">
        <v>66</v>
      </c>
      <c r="C42" s="6" t="s">
        <v>86</v>
      </c>
      <c r="D42" s="16">
        <v>6353.75</v>
      </c>
      <c r="E42" s="7">
        <f>1933.75+14.73+2.45</f>
        <v>1950.93</v>
      </c>
      <c r="F42" s="7"/>
      <c r="G42" s="7"/>
      <c r="H42" s="7">
        <v>528</v>
      </c>
      <c r="I42" s="7"/>
      <c r="J42" s="7">
        <v>351.3</v>
      </c>
      <c r="K42" s="7"/>
      <c r="L42" s="16">
        <f t="shared" si="5"/>
        <v>879.3</v>
      </c>
      <c r="M42" s="7">
        <v>650.30999999999995</v>
      </c>
      <c r="N42" s="7"/>
      <c r="O42" s="7"/>
      <c r="P42" s="16">
        <f t="shared" si="4"/>
        <v>9834.2899999999991</v>
      </c>
      <c r="Q42" s="7">
        <v>743.03</v>
      </c>
      <c r="R42" s="7">
        <f>490.52+117.92</f>
        <v>608.43999999999994</v>
      </c>
      <c r="S42" s="7"/>
      <c r="T42" s="7"/>
      <c r="U42" s="16">
        <f t="shared" si="3"/>
        <v>1351.4699999999998</v>
      </c>
      <c r="V42" s="16">
        <f t="shared" si="6"/>
        <v>8482.82</v>
      </c>
    </row>
    <row r="43" spans="1:22" x14ac:dyDescent="0.25">
      <c r="A43" s="5" t="s">
        <v>48</v>
      </c>
      <c r="B43" s="6" t="s">
        <v>66</v>
      </c>
      <c r="C43" s="6" t="s">
        <v>85</v>
      </c>
      <c r="D43" s="16">
        <v>8287.5</v>
      </c>
      <c r="E43" s="7"/>
      <c r="F43" s="7"/>
      <c r="G43" s="7"/>
      <c r="H43" s="7">
        <v>693</v>
      </c>
      <c r="I43" s="7"/>
      <c r="J43" s="7">
        <v>318.41000000000003</v>
      </c>
      <c r="K43" s="7"/>
      <c r="L43" s="16">
        <f t="shared" si="5"/>
        <v>1011.4100000000001</v>
      </c>
      <c r="M43" s="7"/>
      <c r="N43" s="7"/>
      <c r="O43" s="7"/>
      <c r="P43" s="16">
        <f t="shared" si="4"/>
        <v>9298.91</v>
      </c>
      <c r="Q43" s="7">
        <v>1232.5</v>
      </c>
      <c r="R43" s="7">
        <v>608.44000000000005</v>
      </c>
      <c r="S43" s="7">
        <f>6.22+29.7+11</f>
        <v>46.92</v>
      </c>
      <c r="T43" s="7"/>
      <c r="U43" s="16">
        <f t="shared" si="3"/>
        <v>1887.8600000000001</v>
      </c>
      <c r="V43" s="16">
        <f t="shared" si="6"/>
        <v>7411.0499999999993</v>
      </c>
    </row>
    <row r="44" spans="1:22" x14ac:dyDescent="0.25">
      <c r="A44" s="5" t="s">
        <v>49</v>
      </c>
      <c r="B44" s="6" t="s">
        <v>58</v>
      </c>
      <c r="C44" s="6" t="s">
        <v>81</v>
      </c>
      <c r="D44" s="16">
        <v>2415.6799999999998</v>
      </c>
      <c r="E44" s="7">
        <f>1207.84+20.12+2.72+3.35</f>
        <v>1234.0299999999997</v>
      </c>
      <c r="F44" s="7"/>
      <c r="G44" s="7"/>
      <c r="H44" s="7">
        <v>429</v>
      </c>
      <c r="I44" s="7">
        <v>319.8</v>
      </c>
      <c r="J44" s="7">
        <v>507.75</v>
      </c>
      <c r="K44" s="7"/>
      <c r="L44" s="16">
        <f t="shared" si="5"/>
        <v>1256.55</v>
      </c>
      <c r="M44" s="7">
        <v>411.49</v>
      </c>
      <c r="N44" s="7"/>
      <c r="O44" s="7"/>
      <c r="P44" s="16">
        <f t="shared" si="4"/>
        <v>5317.7499999999991</v>
      </c>
      <c r="Q44" s="7"/>
      <c r="R44" s="7">
        <f>314.9+131.68</f>
        <v>446.58</v>
      </c>
      <c r="S44" s="7">
        <f>1.81+33+24.16</f>
        <v>58.97</v>
      </c>
      <c r="T44" s="7">
        <v>94.21</v>
      </c>
      <c r="U44" s="16">
        <f t="shared" si="3"/>
        <v>599.76</v>
      </c>
      <c r="V44" s="16">
        <f t="shared" si="6"/>
        <v>4717.9899999999989</v>
      </c>
    </row>
    <row r="45" spans="1:22" x14ac:dyDescent="0.25">
      <c r="A45" s="5" t="s">
        <v>50</v>
      </c>
      <c r="B45" s="6" t="s">
        <v>122</v>
      </c>
      <c r="C45" s="6" t="s">
        <v>85</v>
      </c>
      <c r="D45" s="16">
        <v>8287.5</v>
      </c>
      <c r="E45" s="7"/>
      <c r="F45" s="7"/>
      <c r="G45" s="7"/>
      <c r="H45" s="7">
        <v>693</v>
      </c>
      <c r="I45" s="7">
        <v>180.6</v>
      </c>
      <c r="J45" s="7"/>
      <c r="K45" s="7"/>
      <c r="L45" s="16">
        <f t="shared" si="5"/>
        <v>873.6</v>
      </c>
      <c r="M45" s="7"/>
      <c r="N45" s="7"/>
      <c r="O45" s="7">
        <v>4422.16</v>
      </c>
      <c r="P45" s="16">
        <f t="shared" si="4"/>
        <v>13583.26</v>
      </c>
      <c r="Q45" s="7">
        <v>2458.48</v>
      </c>
      <c r="R45" s="7">
        <v>608.44000000000005</v>
      </c>
      <c r="S45" s="7"/>
      <c r="T45" s="7">
        <v>180.6</v>
      </c>
      <c r="U45" s="16">
        <f t="shared" si="3"/>
        <v>3247.52</v>
      </c>
      <c r="V45" s="16">
        <f t="shared" si="6"/>
        <v>10335.74</v>
      </c>
    </row>
    <row r="46" spans="1:22" x14ac:dyDescent="0.25">
      <c r="A46" s="5" t="s">
        <v>51</v>
      </c>
      <c r="B46" s="6" t="s">
        <v>77</v>
      </c>
      <c r="C46" s="6" t="s">
        <v>83</v>
      </c>
      <c r="D46" s="16">
        <v>6995.3</v>
      </c>
      <c r="E46" s="7"/>
      <c r="F46" s="7"/>
      <c r="G46" s="7">
        <f>77.82+111.92+31.62</f>
        <v>221.36</v>
      </c>
      <c r="H46" s="7">
        <v>693</v>
      </c>
      <c r="I46" s="7">
        <v>159.6</v>
      </c>
      <c r="J46" s="7">
        <v>351.3</v>
      </c>
      <c r="K46" s="7"/>
      <c r="L46" s="16">
        <f t="shared" si="5"/>
        <v>1203.9000000000001</v>
      </c>
      <c r="M46" s="7"/>
      <c r="N46" s="7"/>
      <c r="O46" s="7"/>
      <c r="P46" s="16">
        <f t="shared" si="4"/>
        <v>8420.56</v>
      </c>
      <c r="Q46" s="7">
        <v>905.58</v>
      </c>
      <c r="R46" s="7">
        <v>608.44000000000005</v>
      </c>
      <c r="S46" s="7">
        <f>62.37+91.52</f>
        <v>153.88999999999999</v>
      </c>
      <c r="T46" s="7">
        <v>159.6</v>
      </c>
      <c r="U46" s="16">
        <f t="shared" si="3"/>
        <v>1827.5099999999998</v>
      </c>
      <c r="V46" s="16">
        <f t="shared" si="6"/>
        <v>6593.0499999999993</v>
      </c>
    </row>
    <row r="47" spans="1:22" x14ac:dyDescent="0.25">
      <c r="A47" s="6" t="s">
        <v>53</v>
      </c>
      <c r="B47" s="6" t="s">
        <v>73</v>
      </c>
      <c r="C47" s="6" t="s">
        <v>83</v>
      </c>
      <c r="D47" s="16">
        <v>2294.9</v>
      </c>
      <c r="E47" s="7">
        <f>1328.62+4.15+8.47</f>
        <v>1341.24</v>
      </c>
      <c r="F47" s="7"/>
      <c r="G47" s="7">
        <f>28.99+17.66+7.78</f>
        <v>54.43</v>
      </c>
      <c r="H47" s="7">
        <v>396</v>
      </c>
      <c r="I47" s="7">
        <v>344.4</v>
      </c>
      <c r="J47" s="7">
        <v>372.32</v>
      </c>
      <c r="K47" s="7"/>
      <c r="L47" s="16">
        <f t="shared" si="5"/>
        <v>1112.72</v>
      </c>
      <c r="M47" s="7">
        <v>444.49</v>
      </c>
      <c r="N47" s="7"/>
      <c r="O47" s="7"/>
      <c r="P47" s="16">
        <f t="shared" si="4"/>
        <v>5247.78</v>
      </c>
      <c r="Q47" s="7">
        <v>10.81</v>
      </c>
      <c r="R47" s="7">
        <v>293.08</v>
      </c>
      <c r="S47" s="7">
        <f>5.44+2.72+22.95</f>
        <v>31.11</v>
      </c>
      <c r="T47" s="7">
        <v>86.96</v>
      </c>
      <c r="U47" s="16">
        <f t="shared" si="3"/>
        <v>421.96</v>
      </c>
      <c r="V47" s="16">
        <f t="shared" si="6"/>
        <v>4825.82</v>
      </c>
    </row>
    <row r="48" spans="1:22" x14ac:dyDescent="0.25">
      <c r="A48" s="6" t="s">
        <v>54</v>
      </c>
      <c r="B48" s="6" t="s">
        <v>79</v>
      </c>
      <c r="C48" s="6" t="s">
        <v>87</v>
      </c>
      <c r="D48" s="16">
        <v>6995.3</v>
      </c>
      <c r="E48" s="7"/>
      <c r="F48" s="7"/>
      <c r="G48" s="7"/>
      <c r="H48" s="7">
        <v>693</v>
      </c>
      <c r="I48" s="7">
        <v>180.6</v>
      </c>
      <c r="J48" s="7">
        <v>363.11</v>
      </c>
      <c r="K48" s="7"/>
      <c r="L48" s="16">
        <f t="shared" si="5"/>
        <v>1236.71</v>
      </c>
      <c r="M48" s="7"/>
      <c r="N48" s="7"/>
      <c r="O48" s="7"/>
      <c r="P48" s="16">
        <f t="shared" si="4"/>
        <v>8232.01</v>
      </c>
      <c r="Q48" s="7">
        <v>869.71</v>
      </c>
      <c r="R48" s="7">
        <v>608.44000000000005</v>
      </c>
      <c r="S48" s="7">
        <v>62.96</v>
      </c>
      <c r="T48" s="7">
        <v>180.6</v>
      </c>
      <c r="U48" s="16">
        <f t="shared" si="3"/>
        <v>1721.71</v>
      </c>
      <c r="V48" s="16">
        <f t="shared" si="6"/>
        <v>6510.3</v>
      </c>
    </row>
    <row r="49" spans="1:22" x14ac:dyDescent="0.25">
      <c r="A49" s="5" t="s">
        <v>111</v>
      </c>
      <c r="B49" s="6" t="s">
        <v>62</v>
      </c>
      <c r="C49" s="6" t="s">
        <v>85</v>
      </c>
      <c r="D49" s="16">
        <v>898.79</v>
      </c>
      <c r="E49" s="7"/>
      <c r="F49" s="7"/>
      <c r="G49" s="7"/>
      <c r="H49" s="7">
        <v>693</v>
      </c>
      <c r="I49" s="7">
        <v>336</v>
      </c>
      <c r="J49" s="7"/>
      <c r="K49" s="7"/>
      <c r="L49" s="16">
        <f t="shared" si="5"/>
        <v>1029</v>
      </c>
      <c r="M49" s="7"/>
      <c r="N49" s="7"/>
      <c r="O49" s="7"/>
      <c r="P49" s="16">
        <f t="shared" si="4"/>
        <v>1927.79</v>
      </c>
      <c r="Q49" s="7"/>
      <c r="R49" s="7"/>
      <c r="S49" s="7"/>
      <c r="T49" s="7"/>
      <c r="U49" s="16">
        <f t="shared" si="3"/>
        <v>0</v>
      </c>
      <c r="V49" s="16">
        <f t="shared" si="6"/>
        <v>1927.79</v>
      </c>
    </row>
    <row r="50" spans="1:22" x14ac:dyDescent="0.25">
      <c r="A50" s="5" t="s">
        <v>128</v>
      </c>
      <c r="B50" s="6" t="s">
        <v>58</v>
      </c>
      <c r="C50" s="6" t="s">
        <v>85</v>
      </c>
      <c r="D50" s="16"/>
      <c r="E50" s="7"/>
      <c r="F50" s="7"/>
      <c r="G50" s="7"/>
      <c r="H50" s="7"/>
      <c r="I50" s="7"/>
      <c r="J50" s="7">
        <v>351.3</v>
      </c>
      <c r="K50" s="7"/>
      <c r="L50" s="16">
        <f t="shared" si="5"/>
        <v>351.3</v>
      </c>
      <c r="M50" s="7"/>
      <c r="N50" s="7"/>
      <c r="O50" s="7"/>
      <c r="P50" s="16">
        <f t="shared" si="4"/>
        <v>351.3</v>
      </c>
      <c r="Q50" s="7"/>
      <c r="R50" s="7"/>
      <c r="S50" s="7"/>
      <c r="T50" s="7"/>
      <c r="U50" s="16">
        <f t="shared" si="3"/>
        <v>0</v>
      </c>
      <c r="V50" s="16">
        <f t="shared" si="6"/>
        <v>351.3</v>
      </c>
    </row>
    <row r="51" spans="1:22" x14ac:dyDescent="0.25">
      <c r="A51" s="6" t="s">
        <v>56</v>
      </c>
      <c r="B51" s="6" t="s">
        <v>121</v>
      </c>
      <c r="C51" s="6" t="s">
        <v>89</v>
      </c>
      <c r="D51" s="16">
        <v>6995.3</v>
      </c>
      <c r="E51" s="7"/>
      <c r="F51" s="7"/>
      <c r="G51" s="7"/>
      <c r="H51" s="7">
        <v>693</v>
      </c>
      <c r="I51" s="7"/>
      <c r="J51" s="7"/>
      <c r="K51" s="7"/>
      <c r="L51" s="16">
        <f t="shared" si="5"/>
        <v>693</v>
      </c>
      <c r="M51" s="7"/>
      <c r="N51" s="7"/>
      <c r="O51" s="7">
        <v>5714.36</v>
      </c>
      <c r="P51" s="16">
        <f t="shared" si="4"/>
        <v>13402.66</v>
      </c>
      <c r="Q51" s="7">
        <v>2458.48</v>
      </c>
      <c r="R51" s="7">
        <v>608.44000000000005</v>
      </c>
      <c r="S51" s="7"/>
      <c r="T51" s="7"/>
      <c r="U51" s="16">
        <f t="shared" si="3"/>
        <v>3066.92</v>
      </c>
      <c r="V51" s="16">
        <f t="shared" si="6"/>
        <v>10335.74</v>
      </c>
    </row>
    <row r="52" spans="1:22" x14ac:dyDescent="0.25">
      <c r="A52" s="6" t="s">
        <v>57</v>
      </c>
      <c r="B52" s="6" t="s">
        <v>62</v>
      </c>
      <c r="C52" s="6" t="s">
        <v>91</v>
      </c>
      <c r="D52" s="7">
        <v>868.83</v>
      </c>
      <c r="E52" s="7"/>
      <c r="F52" s="7"/>
      <c r="G52" s="7"/>
      <c r="H52" s="7">
        <v>693</v>
      </c>
      <c r="I52" s="7">
        <v>336</v>
      </c>
      <c r="J52" s="7"/>
      <c r="K52" s="7"/>
      <c r="L52" s="16">
        <f t="shared" si="5"/>
        <v>1029</v>
      </c>
      <c r="M52" s="16"/>
      <c r="N52" s="7"/>
      <c r="O52" s="7"/>
      <c r="P52" s="7">
        <f t="shared" si="4"/>
        <v>1897.83</v>
      </c>
      <c r="Q52" s="7"/>
      <c r="R52" s="16"/>
      <c r="S52" s="16"/>
      <c r="T52" s="16"/>
      <c r="U52" s="16">
        <f t="shared" si="3"/>
        <v>0</v>
      </c>
      <c r="V52" s="16">
        <f t="shared" si="6"/>
        <v>1897.83</v>
      </c>
    </row>
    <row r="53" spans="1:22" x14ac:dyDescent="0.25">
      <c r="A53" s="5" t="s">
        <v>127</v>
      </c>
      <c r="B53" s="6" t="s">
        <v>62</v>
      </c>
      <c r="C53" s="6" t="s">
        <v>87</v>
      </c>
      <c r="D53" s="16">
        <v>898.79</v>
      </c>
      <c r="E53" s="7"/>
      <c r="F53" s="7"/>
      <c r="G53" s="7"/>
      <c r="H53" s="7">
        <v>693</v>
      </c>
      <c r="I53" s="7">
        <v>336</v>
      </c>
      <c r="J53" s="7"/>
      <c r="K53" s="7"/>
      <c r="L53" s="16">
        <f t="shared" si="5"/>
        <v>1029</v>
      </c>
      <c r="M53" s="7"/>
      <c r="N53" s="7"/>
      <c r="O53" s="7"/>
      <c r="P53" s="16">
        <f t="shared" si="4"/>
        <v>1927.79</v>
      </c>
      <c r="Q53" s="7"/>
      <c r="R53" s="7"/>
      <c r="S53" s="7"/>
      <c r="T53" s="7"/>
      <c r="U53" s="16">
        <f t="shared" si="3"/>
        <v>0</v>
      </c>
      <c r="V53" s="16">
        <f t="shared" si="6"/>
        <v>1927.79</v>
      </c>
    </row>
    <row r="54" spans="1:22" hidden="1" x14ac:dyDescent="0.25">
      <c r="H54" s="1">
        <f>SUM(H5:H53)</f>
        <v>29931</v>
      </c>
      <c r="I54" s="1">
        <f>SUM(I5:I53)</f>
        <v>10391.61</v>
      </c>
      <c r="J54" s="1">
        <f>SUM(J5:J53)</f>
        <v>10848.719999999998</v>
      </c>
      <c r="K54" s="1"/>
      <c r="L54" s="1"/>
      <c r="P54" s="3"/>
      <c r="V54" s="1">
        <f>SUM(V5:V53)</f>
        <v>263241.08999999985</v>
      </c>
    </row>
    <row r="55" spans="1:22" x14ac:dyDescent="0.25">
      <c r="H55" s="1"/>
      <c r="I55" s="1"/>
      <c r="J55" s="1"/>
      <c r="K55" s="1"/>
      <c r="L55" s="1"/>
      <c r="P55" s="3"/>
      <c r="V55" s="1"/>
    </row>
    <row r="56" spans="1:22" x14ac:dyDescent="0.25">
      <c r="P56" s="3"/>
    </row>
    <row r="57" spans="1:22" ht="19.5" x14ac:dyDescent="0.3">
      <c r="A57" s="17" t="s">
        <v>95</v>
      </c>
      <c r="P57" s="3"/>
    </row>
    <row r="58" spans="1:22" ht="19.5" x14ac:dyDescent="0.25">
      <c r="A58" s="20" t="s">
        <v>0</v>
      </c>
      <c r="B58" s="21" t="s">
        <v>1</v>
      </c>
      <c r="C58" s="21" t="s">
        <v>2</v>
      </c>
      <c r="D58" s="21" t="s">
        <v>98</v>
      </c>
      <c r="E58" s="21" t="s">
        <v>97</v>
      </c>
      <c r="F58" s="21" t="s">
        <v>10</v>
      </c>
      <c r="G58" s="20" t="s">
        <v>11</v>
      </c>
      <c r="H58" s="18"/>
      <c r="I58" s="18"/>
      <c r="J58" s="18"/>
      <c r="K58" s="18"/>
      <c r="L58" s="21" t="s">
        <v>96</v>
      </c>
      <c r="M58" s="19"/>
      <c r="N58" s="19"/>
      <c r="O58" s="19"/>
      <c r="P58" s="19"/>
      <c r="Q58" s="19"/>
      <c r="R58" s="19"/>
      <c r="S58" s="19"/>
      <c r="T58" s="19"/>
    </row>
    <row r="59" spans="1:22" x14ac:dyDescent="0.25">
      <c r="A59" s="6" t="s">
        <v>20</v>
      </c>
      <c r="B59" s="6" t="s">
        <v>58</v>
      </c>
      <c r="C59" s="6" t="s">
        <v>81</v>
      </c>
      <c r="D59" s="16">
        <v>1811.76</v>
      </c>
      <c r="P59" s="3"/>
    </row>
    <row r="60" spans="1:22" x14ac:dyDescent="0.25">
      <c r="P60" s="3"/>
    </row>
    <row r="61" spans="1:22" x14ac:dyDescent="0.25">
      <c r="P61" s="3"/>
    </row>
    <row r="62" spans="1:22" x14ac:dyDescent="0.25">
      <c r="P62" s="3"/>
    </row>
    <row r="63" spans="1:22" x14ac:dyDescent="0.25">
      <c r="P63" s="3"/>
    </row>
    <row r="64" spans="1:22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  <row r="81" spans="16:16" x14ac:dyDescent="0.25">
      <c r="P81" s="3"/>
    </row>
    <row r="82" spans="16:16" x14ac:dyDescent="0.25">
      <c r="P82" s="3"/>
    </row>
    <row r="83" spans="16:16" x14ac:dyDescent="0.25">
      <c r="P83" s="3"/>
    </row>
    <row r="84" spans="16:16" x14ac:dyDescent="0.25">
      <c r="P84" s="3"/>
    </row>
    <row r="85" spans="16:16" x14ac:dyDescent="0.25">
      <c r="P85" s="3"/>
    </row>
    <row r="86" spans="16:16" x14ac:dyDescent="0.25">
      <c r="P86" s="3"/>
    </row>
    <row r="87" spans="16:16" x14ac:dyDescent="0.25">
      <c r="P87" s="3"/>
    </row>
    <row r="88" spans="16:16" x14ac:dyDescent="0.25">
      <c r="P88" s="3"/>
    </row>
    <row r="89" spans="16:16" x14ac:dyDescent="0.25">
      <c r="P89" s="3"/>
    </row>
    <row r="90" spans="16:16" x14ac:dyDescent="0.25">
      <c r="P90" s="3"/>
    </row>
    <row r="91" spans="16:16" x14ac:dyDescent="0.25">
      <c r="P91" s="3"/>
    </row>
    <row r="92" spans="16:16" x14ac:dyDescent="0.25">
      <c r="P92" s="3"/>
    </row>
    <row r="93" spans="16:16" x14ac:dyDescent="0.25">
      <c r="P93" s="3"/>
    </row>
    <row r="94" spans="16:16" x14ac:dyDescent="0.25">
      <c r="P94" s="3"/>
    </row>
    <row r="95" spans="16:16" x14ac:dyDescent="0.25">
      <c r="P95" s="3"/>
    </row>
    <row r="96" spans="16:16" x14ac:dyDescent="0.25">
      <c r="P96" s="3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3"/>
    </row>
    <row r="103" spans="16:16" x14ac:dyDescent="0.25">
      <c r="P103" s="3"/>
    </row>
    <row r="104" spans="16:16" x14ac:dyDescent="0.25">
      <c r="P104" s="3"/>
    </row>
    <row r="105" spans="16:16" x14ac:dyDescent="0.25">
      <c r="P105" s="3"/>
    </row>
    <row r="106" spans="16:16" x14ac:dyDescent="0.25">
      <c r="P106" s="3"/>
    </row>
    <row r="107" spans="16:16" x14ac:dyDescent="0.25">
      <c r="P107" s="3"/>
    </row>
    <row r="108" spans="16:16" x14ac:dyDescent="0.25">
      <c r="P108" s="3"/>
    </row>
    <row r="109" spans="16:16" x14ac:dyDescent="0.25">
      <c r="P109" s="3"/>
    </row>
    <row r="110" spans="16:16" x14ac:dyDescent="0.25">
      <c r="P110" s="3"/>
    </row>
    <row r="111" spans="16:16" x14ac:dyDescent="0.25">
      <c r="P111" s="3"/>
    </row>
    <row r="112" spans="16:16" x14ac:dyDescent="0.25">
      <c r="P112" s="3"/>
    </row>
    <row r="113" spans="16:16" x14ac:dyDescent="0.25">
      <c r="P113" s="3"/>
    </row>
  </sheetData>
  <autoFilter ref="A4:V59"/>
  <sortState ref="A5:V53">
    <sortCondition ref="A4"/>
  </sortState>
  <pageMargins left="0.51181102362204722" right="0.51181102362204722" top="0.78740157480314965" bottom="0.78740157480314965" header="0.31496062992125984" footer="0.31496062992125984"/>
  <pageSetup paperSize="9" scale="36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5"/>
  <sheetViews>
    <sheetView showGridLines="0" zoomScaleNormal="100" workbookViewId="0">
      <pane xSplit="1" ySplit="4" topLeftCell="O44" activePane="bottomRight" state="frozen"/>
      <selection pane="topRight" activeCell="B1" sqref="B1"/>
      <selection pane="bottomLeft" activeCell="A5" sqref="A5"/>
      <selection pane="bottomRight" sqref="A1:W61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4" width="22.140625" style="2" customWidth="1"/>
    <col min="15" max="15" width="19.5703125" style="2" customWidth="1"/>
    <col min="16" max="16" width="16.28515625" style="2" customWidth="1"/>
    <col min="17" max="17" width="20.28515625" style="2" customWidth="1"/>
    <col min="18" max="18" width="13" style="2" bestFit="1" customWidth="1"/>
    <col min="19" max="19" width="12.140625" style="2" bestFit="1" customWidth="1"/>
    <col min="20" max="20" width="18.85546875" style="2" bestFit="1" customWidth="1"/>
    <col min="21" max="21" width="11.42578125" style="2" bestFit="1" customWidth="1"/>
    <col min="22" max="22" width="17.5703125" style="2" bestFit="1" customWidth="1"/>
    <col min="23" max="23" width="14.85546875" style="2" bestFit="1" customWidth="1"/>
    <col min="24" max="16384" width="9.140625" style="2"/>
  </cols>
  <sheetData>
    <row r="1" spans="1:23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x14ac:dyDescent="0.3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135</v>
      </c>
      <c r="P4" s="20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92</v>
      </c>
      <c r="V4" s="20" t="s">
        <v>13</v>
      </c>
      <c r="W4" s="21" t="s">
        <v>14</v>
      </c>
    </row>
    <row r="5" spans="1:23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759</v>
      </c>
      <c r="I5" s="7">
        <v>598</v>
      </c>
      <c r="J5" s="7">
        <v>424.17</v>
      </c>
      <c r="K5" s="7"/>
      <c r="L5" s="16">
        <f t="shared" ref="L5:L36" si="0">H5+I5+K5+J5</f>
        <v>1781.17</v>
      </c>
      <c r="M5" s="7"/>
      <c r="N5" s="7"/>
      <c r="O5" s="7"/>
      <c r="P5" s="7"/>
      <c r="Q5" s="16">
        <f>D5+E5+F5+G5+L5+M5+N5+P5+O5</f>
        <v>5404.6900000000005</v>
      </c>
      <c r="R5" s="7">
        <v>128.94</v>
      </c>
      <c r="S5" s="7">
        <v>398.59</v>
      </c>
      <c r="T5" s="7">
        <f>36.24+11</f>
        <v>47.24</v>
      </c>
      <c r="U5" s="7">
        <v>166.68</v>
      </c>
      <c r="V5" s="16">
        <f>R5+S5+T5+U5</f>
        <v>741.45</v>
      </c>
      <c r="W5" s="16">
        <f t="shared" ref="W5:W36" si="1">Q5-V5</f>
        <v>4663.2400000000007</v>
      </c>
    </row>
    <row r="6" spans="1:23" x14ac:dyDescent="0.25">
      <c r="A6" s="5" t="s">
        <v>17</v>
      </c>
      <c r="B6" s="6" t="s">
        <v>59</v>
      </c>
      <c r="C6" s="6" t="s">
        <v>82</v>
      </c>
      <c r="D6" s="16">
        <v>3623.52</v>
      </c>
      <c r="E6" s="7"/>
      <c r="F6" s="7"/>
      <c r="G6" s="7"/>
      <c r="H6" s="7">
        <v>759</v>
      </c>
      <c r="I6" s="7"/>
      <c r="J6" s="16"/>
      <c r="K6" s="7">
        <v>260</v>
      </c>
      <c r="L6" s="16">
        <f t="shared" si="0"/>
        <v>1019</v>
      </c>
      <c r="M6" s="7"/>
      <c r="N6" s="7"/>
      <c r="O6" s="7"/>
      <c r="P6" s="7"/>
      <c r="Q6" s="16">
        <f>D6+E6+F6+G6+L6+M6+N6+P6</f>
        <v>4642.5200000000004</v>
      </c>
      <c r="R6" s="7">
        <v>72.06</v>
      </c>
      <c r="S6" s="7">
        <v>398.59</v>
      </c>
      <c r="T6" s="7"/>
      <c r="U6" s="7"/>
      <c r="V6" s="16">
        <f>R6+S6+T6+U6</f>
        <v>470.65</v>
      </c>
      <c r="W6" s="16">
        <f t="shared" si="1"/>
        <v>4171.8700000000008</v>
      </c>
    </row>
    <row r="7" spans="1:23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759</v>
      </c>
      <c r="I7" s="7">
        <v>174.8</v>
      </c>
      <c r="J7" s="7">
        <v>424.17</v>
      </c>
      <c r="K7" s="7"/>
      <c r="L7" s="16">
        <f t="shared" si="0"/>
        <v>1357.97</v>
      </c>
      <c r="M7" s="7"/>
      <c r="N7" s="7"/>
      <c r="O7" s="7"/>
      <c r="P7" s="7"/>
      <c r="Q7" s="16">
        <f>D7+E7+F7+G7+L7+M7+N7+P7</f>
        <v>6662.1900000000005</v>
      </c>
      <c r="R7" s="7">
        <v>340.73</v>
      </c>
      <c r="S7" s="7">
        <v>583.46</v>
      </c>
      <c r="T7" s="7"/>
      <c r="U7" s="7">
        <v>174.8</v>
      </c>
      <c r="V7" s="16">
        <f>R7+S7+T7+U7</f>
        <v>1098.99</v>
      </c>
      <c r="W7" s="16">
        <f t="shared" si="1"/>
        <v>5563.2000000000007</v>
      </c>
    </row>
    <row r="8" spans="1:23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759</v>
      </c>
      <c r="I8" s="7">
        <v>372.6</v>
      </c>
      <c r="J8" s="7">
        <v>450.64</v>
      </c>
      <c r="K8" s="7"/>
      <c r="L8" s="16">
        <f t="shared" si="0"/>
        <v>1582.2399999999998</v>
      </c>
      <c r="M8" s="7"/>
      <c r="N8" s="7"/>
      <c r="O8" s="7"/>
      <c r="P8" s="7"/>
      <c r="Q8" s="16">
        <f>D8+E8+F8+G8+L8+M8+N8+P8+O8</f>
        <v>5205.76</v>
      </c>
      <c r="R8" s="7">
        <v>100.5</v>
      </c>
      <c r="S8" s="7">
        <v>398.59</v>
      </c>
      <c r="T8" s="7">
        <f>36.24+22</f>
        <v>58.24</v>
      </c>
      <c r="U8" s="7">
        <v>166.68</v>
      </c>
      <c r="V8" s="16">
        <f>R8+S8+T8+U8</f>
        <v>724.01</v>
      </c>
      <c r="W8" s="16">
        <f t="shared" si="1"/>
        <v>4481.75</v>
      </c>
    </row>
    <row r="9" spans="1:23" x14ac:dyDescent="0.25">
      <c r="A9" s="5" t="s">
        <v>105</v>
      </c>
      <c r="B9" s="6" t="s">
        <v>62</v>
      </c>
      <c r="C9" s="6" t="s">
        <v>83</v>
      </c>
      <c r="D9" s="16">
        <f>898.79+149.8</f>
        <v>1048.5899999999999</v>
      </c>
      <c r="E9" s="7"/>
      <c r="F9" s="7"/>
      <c r="G9" s="7"/>
      <c r="H9" s="7">
        <v>759</v>
      </c>
      <c r="I9" s="7">
        <v>197.8</v>
      </c>
      <c r="J9" s="7"/>
      <c r="K9" s="7"/>
      <c r="L9" s="16">
        <f t="shared" si="0"/>
        <v>956.8</v>
      </c>
      <c r="M9" s="10"/>
      <c r="N9" s="7"/>
      <c r="O9" s="7"/>
      <c r="P9" s="7"/>
      <c r="Q9" s="16">
        <f>D9+E9+F9+G9+L9+M9+N9+P9</f>
        <v>2005.3899999999999</v>
      </c>
      <c r="R9" s="7"/>
      <c r="S9" s="7"/>
      <c r="T9" s="7"/>
      <c r="U9" s="7"/>
      <c r="V9" s="16"/>
      <c r="W9" s="16">
        <f t="shared" si="1"/>
        <v>2005.3899999999999</v>
      </c>
    </row>
    <row r="10" spans="1:23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759</v>
      </c>
      <c r="I10" s="7">
        <v>174.8</v>
      </c>
      <c r="J10" s="7"/>
      <c r="K10" s="7"/>
      <c r="L10" s="16">
        <f t="shared" si="0"/>
        <v>933.8</v>
      </c>
      <c r="M10" s="7"/>
      <c r="N10" s="7"/>
      <c r="O10" s="7"/>
      <c r="P10" s="7"/>
      <c r="Q10" s="16">
        <f>D10+E10+F10+G10+L10+M10+N10+P10+O10</f>
        <v>4557.32</v>
      </c>
      <c r="R10" s="7">
        <v>128.94</v>
      </c>
      <c r="S10" s="7">
        <v>398.59</v>
      </c>
      <c r="T10" s="7">
        <v>36.24</v>
      </c>
      <c r="U10" s="7">
        <v>166.68</v>
      </c>
      <c r="V10" s="16">
        <f t="shared" ref="V10:V54" si="2">R10+S10+T10+U10</f>
        <v>730.45</v>
      </c>
      <c r="W10" s="16">
        <f t="shared" si="1"/>
        <v>3826.87</v>
      </c>
    </row>
    <row r="11" spans="1:23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759</v>
      </c>
      <c r="I11" s="7"/>
      <c r="J11" s="7">
        <v>363.11</v>
      </c>
      <c r="K11" s="7"/>
      <c r="L11" s="16">
        <f t="shared" si="0"/>
        <v>1122.1100000000001</v>
      </c>
      <c r="M11" s="10"/>
      <c r="N11" s="7"/>
      <c r="O11" s="7"/>
      <c r="P11" s="7"/>
      <c r="Q11" s="16">
        <f>D11+E11+F11+G11+L11+M11+N11+P11</f>
        <v>10799.67</v>
      </c>
      <c r="R11" s="7">
        <v>1624.65</v>
      </c>
      <c r="S11" s="7">
        <v>608.44000000000005</v>
      </c>
      <c r="T11" s="7"/>
      <c r="U11" s="7"/>
      <c r="V11" s="16">
        <f t="shared" si="2"/>
        <v>2233.09</v>
      </c>
      <c r="W11" s="16">
        <f t="shared" si="1"/>
        <v>8566.58</v>
      </c>
    </row>
    <row r="12" spans="1:23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/>
      <c r="H12" s="7">
        <v>759</v>
      </c>
      <c r="I12" s="7">
        <v>372.6</v>
      </c>
      <c r="J12" s="7"/>
      <c r="K12" s="7"/>
      <c r="L12" s="16">
        <f t="shared" si="0"/>
        <v>1131.5999999999999</v>
      </c>
      <c r="M12" s="7"/>
      <c r="N12" s="7"/>
      <c r="O12" s="7"/>
      <c r="P12" s="7"/>
      <c r="Q12" s="16">
        <f>D12+E12+F12+G12+L12+M12+N12+P12+O12</f>
        <v>4755.12</v>
      </c>
      <c r="R12" s="7">
        <v>128.94</v>
      </c>
      <c r="S12" s="7">
        <v>398.59</v>
      </c>
      <c r="T12" s="7"/>
      <c r="U12" s="7">
        <v>166.68</v>
      </c>
      <c r="V12" s="16">
        <f t="shared" si="2"/>
        <v>694.21</v>
      </c>
      <c r="W12" s="16">
        <f t="shared" si="1"/>
        <v>4060.91</v>
      </c>
    </row>
    <row r="13" spans="1:23" x14ac:dyDescent="0.25">
      <c r="A13" s="11" t="s">
        <v>25</v>
      </c>
      <c r="B13" s="12" t="s">
        <v>64</v>
      </c>
      <c r="C13" s="12" t="s">
        <v>88</v>
      </c>
      <c r="D13" s="16">
        <v>6451.71</v>
      </c>
      <c r="E13" s="7">
        <v>3225.85</v>
      </c>
      <c r="F13" s="7"/>
      <c r="G13" s="7"/>
      <c r="H13" s="7">
        <v>396</v>
      </c>
      <c r="I13" s="7">
        <v>103.2</v>
      </c>
      <c r="J13" s="7">
        <f>692.25+692.25</f>
        <v>1384.5</v>
      </c>
      <c r="K13" s="7"/>
      <c r="L13" s="16">
        <f t="shared" si="0"/>
        <v>1883.7</v>
      </c>
      <c r="M13" s="7">
        <v>1075.28</v>
      </c>
      <c r="N13" s="7"/>
      <c r="O13" s="7"/>
      <c r="P13" s="7"/>
      <c r="Q13" s="16">
        <f>D13+E13+F13+G13+L13+M13+N13+P13</f>
        <v>12636.54</v>
      </c>
      <c r="R13" s="7">
        <f>867.65+225.17</f>
        <v>1092.82</v>
      </c>
      <c r="S13" s="7">
        <f>135.32+473.12</f>
        <v>608.44000000000005</v>
      </c>
      <c r="T13" s="7"/>
      <c r="U13" s="7">
        <v>103.2</v>
      </c>
      <c r="V13" s="16">
        <f t="shared" si="2"/>
        <v>1804.46</v>
      </c>
      <c r="W13" s="16">
        <f t="shared" si="1"/>
        <v>10832.080000000002</v>
      </c>
    </row>
    <row r="14" spans="1:23" x14ac:dyDescent="0.25">
      <c r="A14" s="5" t="s">
        <v>103</v>
      </c>
      <c r="B14" s="6" t="s">
        <v>62</v>
      </c>
      <c r="C14" s="6" t="s">
        <v>89</v>
      </c>
      <c r="D14" s="16">
        <f>898.79+149.8</f>
        <v>1048.5899999999999</v>
      </c>
      <c r="E14" s="7"/>
      <c r="F14" s="7"/>
      <c r="G14" s="7"/>
      <c r="H14" s="7">
        <v>660</v>
      </c>
      <c r="I14" s="7">
        <v>320</v>
      </c>
      <c r="J14" s="7"/>
      <c r="K14" s="7"/>
      <c r="L14" s="16">
        <f t="shared" si="0"/>
        <v>980</v>
      </c>
      <c r="M14" s="7"/>
      <c r="N14" s="7"/>
      <c r="O14" s="7"/>
      <c r="P14" s="7"/>
      <c r="Q14" s="16">
        <f>D14+E14+F14+G14+L14+M14+N14+P14</f>
        <v>2028.59</v>
      </c>
      <c r="R14" s="7"/>
      <c r="S14" s="7"/>
      <c r="T14" s="7"/>
      <c r="U14" s="7"/>
      <c r="V14" s="16">
        <f t="shared" si="2"/>
        <v>0</v>
      </c>
      <c r="W14" s="16">
        <f t="shared" si="1"/>
        <v>2028.59</v>
      </c>
    </row>
    <row r="15" spans="1:23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/>
      <c r="I15" s="7"/>
      <c r="J15" s="7">
        <v>840.79</v>
      </c>
      <c r="K15" s="7"/>
      <c r="L15" s="16">
        <f t="shared" si="0"/>
        <v>840.79</v>
      </c>
      <c r="M15" s="7"/>
      <c r="N15" s="7"/>
      <c r="O15" s="7"/>
      <c r="P15" s="7">
        <v>1682.11</v>
      </c>
      <c r="Q15" s="16">
        <f>D15+E15+F15+G15+L15+M15+N15+P15</f>
        <v>2522.8999999999996</v>
      </c>
      <c r="R15" s="7"/>
      <c r="S15" s="7"/>
      <c r="T15" s="7"/>
      <c r="U15" s="7"/>
      <c r="V15" s="16">
        <f t="shared" si="2"/>
        <v>0</v>
      </c>
      <c r="W15" s="16">
        <f t="shared" si="1"/>
        <v>2522.8999999999996</v>
      </c>
    </row>
    <row r="16" spans="1:23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/>
      <c r="H16" s="7">
        <v>759</v>
      </c>
      <c r="I16" s="7">
        <v>372.6</v>
      </c>
      <c r="J16" s="7">
        <v>351.3</v>
      </c>
      <c r="K16" s="7"/>
      <c r="L16" s="16">
        <f t="shared" si="0"/>
        <v>1482.8999999999999</v>
      </c>
      <c r="M16" s="7"/>
      <c r="N16" s="7"/>
      <c r="O16" s="7"/>
      <c r="P16" s="7"/>
      <c r="Q16" s="16">
        <f>D16+E16+F16+G16+L16+M16+N16+P16+O16</f>
        <v>5106.42</v>
      </c>
      <c r="R16" s="7">
        <v>128.94</v>
      </c>
      <c r="S16" s="7">
        <v>398.59</v>
      </c>
      <c r="T16" s="7">
        <f>11+36.24</f>
        <v>47.24</v>
      </c>
      <c r="U16" s="7">
        <v>166.68</v>
      </c>
      <c r="V16" s="16">
        <f t="shared" si="2"/>
        <v>741.45</v>
      </c>
      <c r="W16" s="16">
        <f t="shared" si="1"/>
        <v>4364.97</v>
      </c>
    </row>
    <row r="17" spans="1:23" x14ac:dyDescent="0.25">
      <c r="A17" s="5" t="s">
        <v>27</v>
      </c>
      <c r="B17" s="6" t="s">
        <v>66</v>
      </c>
      <c r="C17" s="6" t="s">
        <v>86</v>
      </c>
      <c r="D17" s="16">
        <v>8287.5</v>
      </c>
      <c r="E17" s="7"/>
      <c r="F17" s="7"/>
      <c r="G17" s="7"/>
      <c r="H17" s="7">
        <v>759</v>
      </c>
      <c r="I17" s="7">
        <v>197.8</v>
      </c>
      <c r="J17" s="7"/>
      <c r="K17" s="7"/>
      <c r="L17" s="16">
        <f t="shared" si="0"/>
        <v>956.8</v>
      </c>
      <c r="M17" s="7"/>
      <c r="N17" s="7"/>
      <c r="O17" s="7"/>
      <c r="P17" s="7"/>
      <c r="Q17" s="16">
        <f>D17+E17+F17+G17+L17+M17+N17+P17</f>
        <v>9244.2999999999993</v>
      </c>
      <c r="R17" s="7">
        <v>1242.3800000000001</v>
      </c>
      <c r="S17" s="7">
        <v>608.44000000000005</v>
      </c>
      <c r="T17" s="7"/>
      <c r="U17" s="7">
        <v>197.8</v>
      </c>
      <c r="V17" s="16">
        <f t="shared" si="2"/>
        <v>2048.6200000000003</v>
      </c>
      <c r="W17" s="16">
        <f t="shared" si="1"/>
        <v>7195.6799999999985</v>
      </c>
    </row>
    <row r="18" spans="1:23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/>
      <c r="H18" s="7">
        <v>759</v>
      </c>
      <c r="I18" s="7"/>
      <c r="J18" s="7"/>
      <c r="K18" s="7"/>
      <c r="L18" s="16">
        <f t="shared" si="0"/>
        <v>759</v>
      </c>
      <c r="M18" s="7"/>
      <c r="N18" s="7"/>
      <c r="O18" s="7"/>
      <c r="P18" s="7"/>
      <c r="Q18" s="16">
        <f>D18+E18+F18+G18+L18+M18+N18+P18+O18</f>
        <v>9046.5</v>
      </c>
      <c r="R18" s="7">
        <v>1242.3800000000001</v>
      </c>
      <c r="S18" s="7">
        <v>608.44000000000005</v>
      </c>
      <c r="T18" s="7">
        <v>22</v>
      </c>
      <c r="U18" s="7"/>
      <c r="V18" s="16">
        <f t="shared" si="2"/>
        <v>1872.8200000000002</v>
      </c>
      <c r="W18" s="16">
        <f t="shared" si="1"/>
        <v>7173.68</v>
      </c>
    </row>
    <row r="19" spans="1:23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v>759</v>
      </c>
      <c r="I19" s="7"/>
      <c r="J19" s="7">
        <v>483.98</v>
      </c>
      <c r="K19" s="7"/>
      <c r="L19" s="16">
        <f t="shared" si="0"/>
        <v>1242.98</v>
      </c>
      <c r="M19" s="7"/>
      <c r="N19" s="7"/>
      <c r="O19" s="7"/>
      <c r="P19" s="7"/>
      <c r="Q19" s="16">
        <f>D19+E19+F19+G19+L19+M19+N19+P19</f>
        <v>13952.64</v>
      </c>
      <c r="R19" s="7">
        <v>2458.48</v>
      </c>
      <c r="S19" s="7">
        <v>608.44000000000005</v>
      </c>
      <c r="T19" s="7"/>
      <c r="U19" s="7"/>
      <c r="V19" s="16">
        <f t="shared" si="2"/>
        <v>3066.92</v>
      </c>
      <c r="W19" s="16">
        <f t="shared" si="1"/>
        <v>10885.72</v>
      </c>
    </row>
    <row r="20" spans="1:23" x14ac:dyDescent="0.25">
      <c r="A20" s="5" t="s">
        <v>32</v>
      </c>
      <c r="B20" s="6" t="s">
        <v>70</v>
      </c>
      <c r="C20" s="6" t="s">
        <v>90</v>
      </c>
      <c r="D20" s="16">
        <v>3623.52</v>
      </c>
      <c r="E20" s="7"/>
      <c r="F20" s="7"/>
      <c r="G20" s="7"/>
      <c r="H20" s="7">
        <v>693</v>
      </c>
      <c r="I20" s="7"/>
      <c r="J20" s="7"/>
      <c r="K20" s="7"/>
      <c r="L20" s="16">
        <f t="shared" si="0"/>
        <v>693</v>
      </c>
      <c r="M20" s="7"/>
      <c r="N20" s="7"/>
      <c r="O20" s="7"/>
      <c r="P20" s="7"/>
      <c r="Q20" s="16">
        <f>D20+E20+F20+G20+L20+M20+N20+P20</f>
        <v>4316.5200000000004</v>
      </c>
      <c r="R20" s="7">
        <v>128.94</v>
      </c>
      <c r="S20" s="7">
        <v>398.59</v>
      </c>
      <c r="T20" s="7">
        <v>36.24</v>
      </c>
      <c r="U20" s="7"/>
      <c r="V20" s="16">
        <f t="shared" si="2"/>
        <v>563.77</v>
      </c>
      <c r="W20" s="16">
        <f t="shared" si="1"/>
        <v>3752.7500000000005</v>
      </c>
    </row>
    <row r="21" spans="1:23" x14ac:dyDescent="0.25">
      <c r="A21" s="5" t="s">
        <v>33</v>
      </c>
      <c r="B21" s="6" t="s">
        <v>58</v>
      </c>
      <c r="C21" s="6" t="s">
        <v>81</v>
      </c>
      <c r="D21" s="16">
        <v>3623.52</v>
      </c>
      <c r="E21" s="7"/>
      <c r="F21" s="7"/>
      <c r="G21" s="7"/>
      <c r="H21" s="7">
        <v>759</v>
      </c>
      <c r="I21" s="7"/>
      <c r="J21" s="7">
        <v>318.41000000000003</v>
      </c>
      <c r="K21" s="7"/>
      <c r="L21" s="16">
        <f t="shared" si="0"/>
        <v>1077.4100000000001</v>
      </c>
      <c r="M21" s="7"/>
      <c r="N21" s="7"/>
      <c r="O21" s="7"/>
      <c r="P21" s="7"/>
      <c r="Q21" s="16">
        <f>D21+E21+F21+G21+L21+M21+N21+P21+O21</f>
        <v>4700.93</v>
      </c>
      <c r="R21" s="7">
        <v>128.94</v>
      </c>
      <c r="S21" s="7">
        <v>398.59</v>
      </c>
      <c r="T21" s="7"/>
      <c r="U21" s="7"/>
      <c r="V21" s="16">
        <f t="shared" si="2"/>
        <v>527.53</v>
      </c>
      <c r="W21" s="16">
        <f t="shared" si="1"/>
        <v>4173.4000000000005</v>
      </c>
    </row>
    <row r="22" spans="1:23" x14ac:dyDescent="0.25">
      <c r="A22" s="5" t="s">
        <v>34</v>
      </c>
      <c r="B22" s="6" t="s">
        <v>67</v>
      </c>
      <c r="C22" s="6" t="s">
        <v>85</v>
      </c>
      <c r="D22" s="16">
        <v>6077.5</v>
      </c>
      <c r="E22" s="7">
        <f>2210+7.4</f>
        <v>2217.4</v>
      </c>
      <c r="F22" s="7"/>
      <c r="G22" s="7"/>
      <c r="H22" s="7">
        <v>561</v>
      </c>
      <c r="I22" s="7"/>
      <c r="J22" s="7">
        <v>424.17</v>
      </c>
      <c r="K22" s="7"/>
      <c r="L22" s="16">
        <f t="shared" si="0"/>
        <v>985.17000000000007</v>
      </c>
      <c r="M22" s="7">
        <v>739.54</v>
      </c>
      <c r="N22" s="7"/>
      <c r="O22" s="7"/>
      <c r="P22" s="7"/>
      <c r="Q22" s="16">
        <f>D22+E22+F22+G22+L22+M22+N22+P22+O22</f>
        <v>10019.61</v>
      </c>
      <c r="R22" s="7">
        <f>724.12+410.51</f>
        <v>1134.6300000000001</v>
      </c>
      <c r="S22" s="7">
        <f>283.04+325.4</f>
        <v>608.44000000000005</v>
      </c>
      <c r="T22" s="7"/>
      <c r="U22" s="7"/>
      <c r="V22" s="16">
        <f t="shared" si="2"/>
        <v>1743.0700000000002</v>
      </c>
      <c r="W22" s="16">
        <f t="shared" si="1"/>
        <v>8276.5400000000009</v>
      </c>
    </row>
    <row r="23" spans="1:23" x14ac:dyDescent="0.25">
      <c r="A23" s="5" t="s">
        <v>110</v>
      </c>
      <c r="B23" s="6" t="s">
        <v>62</v>
      </c>
      <c r="C23" s="6" t="s">
        <v>93</v>
      </c>
      <c r="D23" s="16">
        <f>898.79+149.8</f>
        <v>1048.5899999999999</v>
      </c>
      <c r="E23" s="7"/>
      <c r="F23" s="7"/>
      <c r="G23" s="7"/>
      <c r="H23" s="7">
        <v>759</v>
      </c>
      <c r="I23" s="7">
        <v>368</v>
      </c>
      <c r="J23" s="7"/>
      <c r="K23" s="7"/>
      <c r="L23" s="16">
        <f t="shared" si="0"/>
        <v>1127</v>
      </c>
      <c r="M23" s="7"/>
      <c r="N23" s="7"/>
      <c r="O23" s="7"/>
      <c r="P23" s="7"/>
      <c r="Q23" s="16">
        <f>D23+E23+F23+G23+L23+M23+N23+P23+O23</f>
        <v>2175.59</v>
      </c>
      <c r="R23" s="7"/>
      <c r="S23" s="7"/>
      <c r="T23" s="7"/>
      <c r="U23" s="7"/>
      <c r="V23" s="16">
        <f t="shared" si="2"/>
        <v>0</v>
      </c>
      <c r="W23" s="16">
        <f t="shared" si="1"/>
        <v>2175.59</v>
      </c>
    </row>
    <row r="24" spans="1:23" x14ac:dyDescent="0.25">
      <c r="A24" s="5" t="s">
        <v>107</v>
      </c>
      <c r="B24" s="15" t="s">
        <v>71</v>
      </c>
      <c r="C24" s="6" t="s">
        <v>87</v>
      </c>
      <c r="D24" s="16">
        <v>4430.3599999999997</v>
      </c>
      <c r="E24" s="7">
        <f>2564.94+1.67</f>
        <v>2566.61</v>
      </c>
      <c r="F24" s="7"/>
      <c r="G24" s="7"/>
      <c r="H24" s="7">
        <v>429</v>
      </c>
      <c r="I24" s="7">
        <v>111.8</v>
      </c>
      <c r="J24" s="7">
        <v>421.59</v>
      </c>
      <c r="K24" s="7"/>
      <c r="L24" s="16">
        <f t="shared" si="0"/>
        <v>962.38999999999987</v>
      </c>
      <c r="M24" s="7">
        <v>855.31</v>
      </c>
      <c r="N24" s="7"/>
      <c r="O24" s="7"/>
      <c r="P24" s="7"/>
      <c r="Q24" s="16">
        <f>D24+E24+F24+G24+L24+M24+N24+P24</f>
        <v>8814.6699999999983</v>
      </c>
      <c r="R24" s="7">
        <v>308.48</v>
      </c>
      <c r="S24" s="7">
        <f>232.1+376.34</f>
        <v>608.43999999999994</v>
      </c>
      <c r="T24" s="7"/>
      <c r="U24" s="7">
        <v>111.8</v>
      </c>
      <c r="V24" s="16">
        <f t="shared" si="2"/>
        <v>1028.72</v>
      </c>
      <c r="W24" s="16">
        <f t="shared" si="1"/>
        <v>7785.949999999998</v>
      </c>
    </row>
    <row r="25" spans="1:23" x14ac:dyDescent="0.25">
      <c r="A25" s="6" t="s">
        <v>136</v>
      </c>
      <c r="B25" s="6" t="s">
        <v>75</v>
      </c>
      <c r="C25" s="6" t="s">
        <v>91</v>
      </c>
      <c r="D25" s="16">
        <v>3225.85</v>
      </c>
      <c r="E25" s="7"/>
      <c r="F25" s="7"/>
      <c r="G25" s="7"/>
      <c r="H25" s="7"/>
      <c r="I25" s="7"/>
      <c r="J25" s="7"/>
      <c r="K25" s="7"/>
      <c r="L25" s="16">
        <f t="shared" si="0"/>
        <v>0</v>
      </c>
      <c r="M25" s="7"/>
      <c r="N25" s="7"/>
      <c r="O25" s="7"/>
      <c r="P25" s="7"/>
      <c r="Q25" s="16">
        <f>D25+E25+F25+G25+L25+M25+N25+P25</f>
        <v>3225.85</v>
      </c>
      <c r="R25" s="7">
        <f>75.85+144.86</f>
        <v>220.71</v>
      </c>
      <c r="S25" s="7">
        <v>354.84</v>
      </c>
      <c r="T25" s="7"/>
      <c r="U25" s="7">
        <v>77.400000000000006</v>
      </c>
      <c r="V25" s="16">
        <f t="shared" si="2"/>
        <v>652.94999999999993</v>
      </c>
      <c r="W25" s="16">
        <f t="shared" si="1"/>
        <v>2572.9</v>
      </c>
    </row>
    <row r="26" spans="1:23" x14ac:dyDescent="0.25">
      <c r="A26" s="5" t="s">
        <v>126</v>
      </c>
      <c r="B26" s="6" t="s">
        <v>62</v>
      </c>
      <c r="C26" s="6" t="s">
        <v>89</v>
      </c>
      <c r="D26" s="16">
        <f>898.79+149.8</f>
        <v>1048.5899999999999</v>
      </c>
      <c r="E26" s="7"/>
      <c r="F26" s="7"/>
      <c r="G26" s="7"/>
      <c r="H26" s="7">
        <v>759</v>
      </c>
      <c r="I26" s="7">
        <v>197.8</v>
      </c>
      <c r="J26" s="7"/>
      <c r="K26" s="7"/>
      <c r="L26" s="16">
        <f t="shared" si="0"/>
        <v>956.8</v>
      </c>
      <c r="M26" s="7"/>
      <c r="N26" s="7"/>
      <c r="O26" s="7"/>
      <c r="P26" s="7"/>
      <c r="Q26" s="16">
        <f>D26+E26+F26+G26+L26+M26+N26+P26</f>
        <v>2005.3899999999999</v>
      </c>
      <c r="R26" s="7"/>
      <c r="S26" s="7"/>
      <c r="T26" s="7"/>
      <c r="U26" s="7"/>
      <c r="V26" s="16">
        <f t="shared" si="2"/>
        <v>0</v>
      </c>
      <c r="W26" s="16">
        <f t="shared" si="1"/>
        <v>2005.3899999999999</v>
      </c>
    </row>
    <row r="27" spans="1:23" x14ac:dyDescent="0.25">
      <c r="A27" s="11" t="s">
        <v>35</v>
      </c>
      <c r="B27" s="13" t="s">
        <v>59</v>
      </c>
      <c r="C27" s="6" t="s">
        <v>89</v>
      </c>
      <c r="D27" s="16">
        <v>3623.52</v>
      </c>
      <c r="E27" s="7"/>
      <c r="F27" s="7"/>
      <c r="G27" s="7"/>
      <c r="H27" s="7">
        <v>759</v>
      </c>
      <c r="I27" s="7">
        <v>565.79999999999995</v>
      </c>
      <c r="J27" s="7"/>
      <c r="K27" s="7"/>
      <c r="L27" s="16">
        <f t="shared" si="0"/>
        <v>1324.8</v>
      </c>
      <c r="M27" s="7"/>
      <c r="N27" s="7"/>
      <c r="O27" s="7"/>
      <c r="P27" s="7"/>
      <c r="Q27" s="16">
        <f>D27+E27+F27+G27+L27+M27+N27+P27</f>
        <v>4948.32</v>
      </c>
      <c r="R27" s="7">
        <v>128.94</v>
      </c>
      <c r="S27" s="7">
        <v>398.59</v>
      </c>
      <c r="T27" s="7"/>
      <c r="U27" s="7">
        <v>166.68</v>
      </c>
      <c r="V27" s="16">
        <f t="shared" si="2"/>
        <v>694.21</v>
      </c>
      <c r="W27" s="16">
        <f t="shared" si="1"/>
        <v>4254.1099999999997</v>
      </c>
    </row>
    <row r="28" spans="1:23" x14ac:dyDescent="0.25">
      <c r="A28" s="5" t="s">
        <v>36</v>
      </c>
      <c r="B28" s="6" t="s">
        <v>67</v>
      </c>
      <c r="C28" s="6" t="s">
        <v>85</v>
      </c>
      <c r="D28" s="16">
        <v>8287.5</v>
      </c>
      <c r="E28" s="7"/>
      <c r="F28" s="7"/>
      <c r="G28" s="7"/>
      <c r="H28" s="7">
        <v>759</v>
      </c>
      <c r="I28" s="7"/>
      <c r="J28" s="7">
        <v>318.41000000000003</v>
      </c>
      <c r="K28" s="7"/>
      <c r="L28" s="16">
        <f t="shared" si="0"/>
        <v>1077.4100000000001</v>
      </c>
      <c r="M28" s="7"/>
      <c r="N28" s="7"/>
      <c r="O28" s="7"/>
      <c r="P28" s="7"/>
      <c r="Q28" s="16">
        <f>D28+E28+F28+G28+L28+M28+N28+P28+O28</f>
        <v>9364.91</v>
      </c>
      <c r="R28" s="7">
        <v>1242.3800000000001</v>
      </c>
      <c r="S28" s="7">
        <v>608.44000000000005</v>
      </c>
      <c r="T28" s="7">
        <v>11</v>
      </c>
      <c r="U28" s="7"/>
      <c r="V28" s="16">
        <f t="shared" si="2"/>
        <v>1861.8200000000002</v>
      </c>
      <c r="W28" s="16">
        <f t="shared" si="1"/>
        <v>7503.09</v>
      </c>
    </row>
    <row r="29" spans="1:23" x14ac:dyDescent="0.25">
      <c r="A29" s="11" t="s">
        <v>119</v>
      </c>
      <c r="B29" s="13" t="s">
        <v>62</v>
      </c>
      <c r="C29" s="6" t="s">
        <v>86</v>
      </c>
      <c r="D29" s="16">
        <f>898.79+149.8</f>
        <v>1048.5899999999999</v>
      </c>
      <c r="E29" s="7"/>
      <c r="F29" s="7"/>
      <c r="G29" s="7"/>
      <c r="H29" s="7">
        <v>759</v>
      </c>
      <c r="I29" s="7">
        <v>174.8</v>
      </c>
      <c r="J29" s="7"/>
      <c r="K29" s="7"/>
      <c r="L29" s="16">
        <f t="shared" si="0"/>
        <v>933.8</v>
      </c>
      <c r="M29" s="7"/>
      <c r="N29" s="7"/>
      <c r="O29" s="7"/>
      <c r="P29" s="7"/>
      <c r="Q29" s="16">
        <f>D29</f>
        <v>1048.5899999999999</v>
      </c>
      <c r="R29" s="7"/>
      <c r="S29" s="7"/>
      <c r="T29" s="7"/>
      <c r="U29" s="7"/>
      <c r="V29" s="16">
        <f t="shared" si="2"/>
        <v>0</v>
      </c>
      <c r="W29" s="16">
        <f t="shared" si="1"/>
        <v>1048.5899999999999</v>
      </c>
    </row>
    <row r="30" spans="1:23" x14ac:dyDescent="0.25">
      <c r="A30" s="11" t="s">
        <v>120</v>
      </c>
      <c r="B30" s="13" t="s">
        <v>74</v>
      </c>
      <c r="C30" s="6" t="s">
        <v>84</v>
      </c>
      <c r="D30" s="16">
        <v>12709.66</v>
      </c>
      <c r="E30" s="7"/>
      <c r="F30" s="7"/>
      <c r="G30" s="7"/>
      <c r="H30" s="7">
        <v>759</v>
      </c>
      <c r="I30" s="7">
        <v>197.8</v>
      </c>
      <c r="J30" s="7"/>
      <c r="K30" s="7"/>
      <c r="L30" s="16">
        <f t="shared" si="0"/>
        <v>956.8</v>
      </c>
      <c r="M30" s="7"/>
      <c r="N30" s="7"/>
      <c r="O30" s="7"/>
      <c r="P30" s="7"/>
      <c r="Q30" s="16">
        <f>D30+E30+F30+G30+J30+K30+L30+M30+N30+P30</f>
        <v>13666.46</v>
      </c>
      <c r="R30" s="7">
        <v>2458.48</v>
      </c>
      <c r="S30" s="7">
        <v>608.44000000000005</v>
      </c>
      <c r="T30" s="7"/>
      <c r="U30" s="7">
        <v>197.8</v>
      </c>
      <c r="V30" s="16">
        <f t="shared" si="2"/>
        <v>3264.7200000000003</v>
      </c>
      <c r="W30" s="16">
        <f t="shared" si="1"/>
        <v>10401.739999999998</v>
      </c>
    </row>
    <row r="31" spans="1:23" x14ac:dyDescent="0.25">
      <c r="A31" s="5" t="s">
        <v>37</v>
      </c>
      <c r="B31" s="6" t="s">
        <v>66</v>
      </c>
      <c r="C31" s="6" t="s">
        <v>86</v>
      </c>
      <c r="D31" s="16">
        <v>8287.5</v>
      </c>
      <c r="E31" s="10"/>
      <c r="F31" s="7"/>
      <c r="G31" s="7"/>
      <c r="H31" s="7">
        <v>759</v>
      </c>
      <c r="I31" s="7">
        <v>197.8</v>
      </c>
      <c r="J31" s="7">
        <v>372.31</v>
      </c>
      <c r="K31" s="7"/>
      <c r="L31" s="16">
        <f t="shared" si="0"/>
        <v>1329.11</v>
      </c>
      <c r="M31" s="7"/>
      <c r="N31" s="7"/>
      <c r="O31" s="7"/>
      <c r="P31" s="7"/>
      <c r="Q31" s="16">
        <f t="shared" ref="Q31:Q38" si="3">D31+E31+F31+G31+L31+M31+N31+P31</f>
        <v>9616.61</v>
      </c>
      <c r="R31" s="7">
        <v>1242.3800000000001</v>
      </c>
      <c r="S31" s="7">
        <v>608.44000000000005</v>
      </c>
      <c r="T31" s="7"/>
      <c r="U31" s="7">
        <v>197.8</v>
      </c>
      <c r="V31" s="16">
        <f t="shared" si="2"/>
        <v>2048.6200000000003</v>
      </c>
      <c r="W31" s="16">
        <f t="shared" si="1"/>
        <v>7567.99</v>
      </c>
    </row>
    <row r="32" spans="1:23" x14ac:dyDescent="0.25">
      <c r="A32" s="6" t="s">
        <v>38</v>
      </c>
      <c r="B32" s="6" t="s">
        <v>59</v>
      </c>
      <c r="C32" s="6" t="s">
        <v>89</v>
      </c>
      <c r="D32" s="16">
        <v>3623.52</v>
      </c>
      <c r="E32" s="7"/>
      <c r="F32" s="7"/>
      <c r="G32" s="7"/>
      <c r="H32" s="7">
        <v>759</v>
      </c>
      <c r="I32" s="7">
        <v>565.79999999999995</v>
      </c>
      <c r="J32" s="7"/>
      <c r="K32" s="7"/>
      <c r="L32" s="16">
        <f t="shared" si="0"/>
        <v>1324.8</v>
      </c>
      <c r="M32" s="7"/>
      <c r="N32" s="7"/>
      <c r="O32" s="7"/>
      <c r="P32" s="7"/>
      <c r="Q32" s="16">
        <f t="shared" si="3"/>
        <v>4948.32</v>
      </c>
      <c r="R32" s="7">
        <v>128.94</v>
      </c>
      <c r="S32" s="7">
        <v>398.59</v>
      </c>
      <c r="T32" s="7">
        <v>11</v>
      </c>
      <c r="U32" s="7">
        <v>166.68</v>
      </c>
      <c r="V32" s="16">
        <f t="shared" si="2"/>
        <v>705.21</v>
      </c>
      <c r="W32" s="16">
        <f t="shared" si="1"/>
        <v>4243.1099999999997</v>
      </c>
    </row>
    <row r="33" spans="1:23" x14ac:dyDescent="0.25">
      <c r="A33" s="6" t="s">
        <v>39</v>
      </c>
      <c r="B33" s="6" t="s">
        <v>72</v>
      </c>
      <c r="C33" s="6" t="s">
        <v>86</v>
      </c>
      <c r="D33" s="16">
        <v>12709.66</v>
      </c>
      <c r="E33" s="7"/>
      <c r="F33" s="7"/>
      <c r="G33" s="7"/>
      <c r="H33" s="7">
        <v>759</v>
      </c>
      <c r="I33" s="7">
        <v>1325.03</v>
      </c>
      <c r="J33" s="7"/>
      <c r="K33" s="7">
        <v>260</v>
      </c>
      <c r="L33" s="16">
        <f t="shared" si="0"/>
        <v>2344.0299999999997</v>
      </c>
      <c r="M33" s="7"/>
      <c r="N33" s="7"/>
      <c r="O33" s="7"/>
      <c r="P33" s="7"/>
      <c r="Q33" s="16">
        <f t="shared" si="3"/>
        <v>15053.689999999999</v>
      </c>
      <c r="R33" s="7">
        <v>2458.48</v>
      </c>
      <c r="S33" s="7">
        <v>608.44000000000005</v>
      </c>
      <c r="T33" s="7"/>
      <c r="U33" s="7">
        <v>584.64</v>
      </c>
      <c r="V33" s="16">
        <f t="shared" si="2"/>
        <v>3651.56</v>
      </c>
      <c r="W33" s="16">
        <f t="shared" si="1"/>
        <v>11402.13</v>
      </c>
    </row>
    <row r="34" spans="1:23" x14ac:dyDescent="0.25">
      <c r="A34" s="6" t="s">
        <v>40</v>
      </c>
      <c r="B34" s="6" t="s">
        <v>73</v>
      </c>
      <c r="C34" s="6" t="s">
        <v>83</v>
      </c>
      <c r="D34" s="16">
        <v>3623.52</v>
      </c>
      <c r="E34" s="7"/>
      <c r="F34" s="7"/>
      <c r="G34" s="7"/>
      <c r="H34" s="7">
        <v>759</v>
      </c>
      <c r="I34" s="7">
        <v>391</v>
      </c>
      <c r="J34" s="7"/>
      <c r="K34" s="7"/>
      <c r="L34" s="16">
        <f t="shared" si="0"/>
        <v>1150</v>
      </c>
      <c r="M34" s="7"/>
      <c r="N34" s="7"/>
      <c r="O34" s="7"/>
      <c r="P34" s="7"/>
      <c r="Q34" s="16">
        <f t="shared" si="3"/>
        <v>4773.5200000000004</v>
      </c>
      <c r="R34" s="7">
        <v>128.94</v>
      </c>
      <c r="S34" s="7">
        <v>398.59</v>
      </c>
      <c r="T34" s="7">
        <v>11</v>
      </c>
      <c r="U34" s="7">
        <v>166.68</v>
      </c>
      <c r="V34" s="16">
        <f t="shared" si="2"/>
        <v>705.21</v>
      </c>
      <c r="W34" s="16">
        <f t="shared" si="1"/>
        <v>4068.3100000000004</v>
      </c>
    </row>
    <row r="35" spans="1:23" x14ac:dyDescent="0.25">
      <c r="A35" s="6" t="s">
        <v>41</v>
      </c>
      <c r="B35" s="6" t="s">
        <v>82</v>
      </c>
      <c r="C35" s="6" t="s">
        <v>82</v>
      </c>
      <c r="D35" s="16">
        <v>9677.56</v>
      </c>
      <c r="E35" s="7"/>
      <c r="F35" s="7"/>
      <c r="G35" s="7"/>
      <c r="H35" s="7">
        <v>759</v>
      </c>
      <c r="I35" s="7">
        <v>197.8</v>
      </c>
      <c r="J35" s="16">
        <v>1236.0899999999999</v>
      </c>
      <c r="K35" s="7"/>
      <c r="L35" s="16">
        <f t="shared" si="0"/>
        <v>2192.89</v>
      </c>
      <c r="M35" s="7"/>
      <c r="N35" s="7"/>
      <c r="O35" s="7"/>
      <c r="P35" s="7"/>
      <c r="Q35" s="16">
        <f t="shared" si="3"/>
        <v>11870.449999999999</v>
      </c>
      <c r="R35" s="7">
        <v>1624.65</v>
      </c>
      <c r="S35" s="7">
        <v>608.44000000000005</v>
      </c>
      <c r="T35" s="7"/>
      <c r="U35" s="7">
        <v>197.8</v>
      </c>
      <c r="V35" s="16">
        <f t="shared" si="2"/>
        <v>2430.8900000000003</v>
      </c>
      <c r="W35" s="16">
        <f t="shared" si="1"/>
        <v>9439.5599999999977</v>
      </c>
    </row>
    <row r="36" spans="1:23" x14ac:dyDescent="0.25">
      <c r="A36" s="5" t="s">
        <v>106</v>
      </c>
      <c r="B36" s="6" t="s">
        <v>62</v>
      </c>
      <c r="C36" s="6" t="s">
        <v>91</v>
      </c>
      <c r="D36" s="16">
        <f>898.79+149.8</f>
        <v>1048.5899999999999</v>
      </c>
      <c r="E36" s="7"/>
      <c r="F36" s="7"/>
      <c r="G36" s="7"/>
      <c r="H36" s="7">
        <v>759</v>
      </c>
      <c r="I36" s="7">
        <v>174.8</v>
      </c>
      <c r="J36" s="7"/>
      <c r="K36" s="7"/>
      <c r="L36" s="16">
        <f t="shared" si="0"/>
        <v>933.8</v>
      </c>
      <c r="M36" s="7"/>
      <c r="N36" s="7"/>
      <c r="O36" s="7"/>
      <c r="P36" s="7"/>
      <c r="Q36" s="16">
        <f t="shared" si="3"/>
        <v>1982.3899999999999</v>
      </c>
      <c r="R36" s="7"/>
      <c r="S36" s="7"/>
      <c r="T36" s="7"/>
      <c r="U36" s="7"/>
      <c r="V36" s="16">
        <f t="shared" si="2"/>
        <v>0</v>
      </c>
      <c r="W36" s="16">
        <f t="shared" si="1"/>
        <v>1982.3899999999999</v>
      </c>
    </row>
    <row r="37" spans="1:23" x14ac:dyDescent="0.25">
      <c r="A37" s="6" t="s">
        <v>43</v>
      </c>
      <c r="B37" s="6" t="s">
        <v>76</v>
      </c>
      <c r="C37" s="6" t="s">
        <v>91</v>
      </c>
      <c r="D37" s="16">
        <v>6995.3</v>
      </c>
      <c r="E37" s="7"/>
      <c r="F37" s="7"/>
      <c r="G37" s="7"/>
      <c r="H37" s="7">
        <v>759</v>
      </c>
      <c r="I37" s="7">
        <v>197.8</v>
      </c>
      <c r="J37" s="7"/>
      <c r="K37" s="7"/>
      <c r="L37" s="16">
        <f t="shared" ref="L37:L54" si="4">H37+I37+K37+J37</f>
        <v>956.8</v>
      </c>
      <c r="M37" s="7"/>
      <c r="N37" s="7"/>
      <c r="O37" s="7"/>
      <c r="P37" s="7"/>
      <c r="Q37" s="16">
        <f t="shared" si="3"/>
        <v>7952.1</v>
      </c>
      <c r="R37" s="7">
        <v>887.03</v>
      </c>
      <c r="S37" s="7">
        <v>608.44000000000005</v>
      </c>
      <c r="T37" s="7"/>
      <c r="U37" s="7">
        <v>197.8</v>
      </c>
      <c r="V37" s="16">
        <f t="shared" si="2"/>
        <v>1693.27</v>
      </c>
      <c r="W37" s="16">
        <f t="shared" ref="W37:W54" si="5">Q37-V37</f>
        <v>6258.83</v>
      </c>
    </row>
    <row r="38" spans="1:23" x14ac:dyDescent="0.25">
      <c r="A38" s="6" t="s">
        <v>44</v>
      </c>
      <c r="B38" s="6" t="s">
        <v>70</v>
      </c>
      <c r="C38" s="6" t="s">
        <v>90</v>
      </c>
      <c r="D38" s="16">
        <v>3623.52</v>
      </c>
      <c r="E38" s="7"/>
      <c r="F38" s="7"/>
      <c r="G38" s="7"/>
      <c r="H38" s="7">
        <v>759</v>
      </c>
      <c r="I38" s="7">
        <v>372.6</v>
      </c>
      <c r="J38" s="7">
        <v>424.17</v>
      </c>
      <c r="K38" s="7"/>
      <c r="L38" s="16">
        <f t="shared" si="4"/>
        <v>1555.77</v>
      </c>
      <c r="M38" s="7"/>
      <c r="N38" s="7"/>
      <c r="O38" s="7"/>
      <c r="P38" s="7"/>
      <c r="Q38" s="16">
        <f t="shared" si="3"/>
        <v>5179.29</v>
      </c>
      <c r="R38" s="7">
        <v>128.94</v>
      </c>
      <c r="S38" s="7">
        <v>398.59</v>
      </c>
      <c r="T38" s="7">
        <v>11</v>
      </c>
      <c r="U38" s="7">
        <v>166.68</v>
      </c>
      <c r="V38" s="16">
        <f t="shared" si="2"/>
        <v>705.21</v>
      </c>
      <c r="W38" s="16">
        <f t="shared" si="5"/>
        <v>4474.08</v>
      </c>
    </row>
    <row r="39" spans="1:23" x14ac:dyDescent="0.25">
      <c r="A39" s="5" t="s">
        <v>45</v>
      </c>
      <c r="B39" s="6" t="s">
        <v>58</v>
      </c>
      <c r="C39" s="6" t="s">
        <v>81</v>
      </c>
      <c r="D39" s="16">
        <v>1932.54</v>
      </c>
      <c r="E39" s="7">
        <f>1690.98+16.24</f>
        <v>1707.22</v>
      </c>
      <c r="F39" s="7"/>
      <c r="G39" s="7"/>
      <c r="H39" s="7">
        <v>429</v>
      </c>
      <c r="I39" s="7">
        <v>231.4</v>
      </c>
      <c r="J39" s="7">
        <v>386.21</v>
      </c>
      <c r="K39" s="7"/>
      <c r="L39" s="16">
        <f t="shared" si="4"/>
        <v>1046.6099999999999</v>
      </c>
      <c r="M39" s="10">
        <v>569.98</v>
      </c>
      <c r="N39" s="7"/>
      <c r="O39" s="7"/>
      <c r="P39" s="7"/>
      <c r="Q39" s="16">
        <f>D39+E39+F39+G39+L39+M39+N39+P39+O39</f>
        <v>5256.35</v>
      </c>
      <c r="R39" s="7">
        <v>24.04</v>
      </c>
      <c r="S39" s="7">
        <f>258.18+205.19</f>
        <v>463.37</v>
      </c>
      <c r="T39" s="7">
        <v>19.329999999999998</v>
      </c>
      <c r="U39" s="7">
        <v>94.21</v>
      </c>
      <c r="V39" s="16">
        <f t="shared" si="2"/>
        <v>600.95000000000005</v>
      </c>
      <c r="W39" s="16">
        <f t="shared" si="5"/>
        <v>4655.4000000000005</v>
      </c>
    </row>
    <row r="40" spans="1:23" x14ac:dyDescent="0.25">
      <c r="A40" s="6" t="s">
        <v>46</v>
      </c>
      <c r="B40" s="6" t="s">
        <v>58</v>
      </c>
      <c r="C40" s="6" t="s">
        <v>81</v>
      </c>
      <c r="D40" s="16">
        <v>2294.9</v>
      </c>
      <c r="E40" s="7">
        <f>1328.63+43.22+0.79+7.2</f>
        <v>1379.8400000000001</v>
      </c>
      <c r="F40" s="7"/>
      <c r="G40" s="7"/>
      <c r="H40" s="7">
        <v>462</v>
      </c>
      <c r="I40" s="7">
        <v>350</v>
      </c>
      <c r="J40" s="7">
        <v>318.41000000000003</v>
      </c>
      <c r="K40" s="7"/>
      <c r="L40" s="16">
        <f t="shared" si="4"/>
        <v>1130.4100000000001</v>
      </c>
      <c r="M40" s="7">
        <v>459.99</v>
      </c>
      <c r="N40" s="7">
        <v>40.76</v>
      </c>
      <c r="O40" s="7"/>
      <c r="P40" s="7">
        <v>896.37</v>
      </c>
      <c r="Q40" s="16">
        <f>D40+E40+F40+G40+L40+M40+N40+P40+O40</f>
        <v>6202.27</v>
      </c>
      <c r="R40" s="7">
        <f>85.95</f>
        <v>85.95</v>
      </c>
      <c r="S40" s="7">
        <f>293.72+165.6</f>
        <v>459.32000000000005</v>
      </c>
      <c r="T40" s="7">
        <f>11+22.95</f>
        <v>33.950000000000003</v>
      </c>
      <c r="U40" s="7">
        <v>101.46</v>
      </c>
      <c r="V40" s="16">
        <f t="shared" si="2"/>
        <v>680.68000000000018</v>
      </c>
      <c r="W40" s="16">
        <f t="shared" si="5"/>
        <v>5521.59</v>
      </c>
    </row>
    <row r="41" spans="1:23" x14ac:dyDescent="0.25">
      <c r="A41" s="5" t="s">
        <v>104</v>
      </c>
      <c r="B41" s="6" t="s">
        <v>59</v>
      </c>
      <c r="C41" s="6" t="s">
        <v>89</v>
      </c>
      <c r="D41" s="16">
        <v>3623.52</v>
      </c>
      <c r="E41" s="7"/>
      <c r="F41" s="7"/>
      <c r="G41" s="7"/>
      <c r="H41" s="7">
        <v>759</v>
      </c>
      <c r="I41" s="7">
        <v>409.4</v>
      </c>
      <c r="J41" s="7">
        <v>419.03</v>
      </c>
      <c r="K41" s="7"/>
      <c r="L41" s="16">
        <f t="shared" si="4"/>
        <v>1587.43</v>
      </c>
      <c r="M41" s="7"/>
      <c r="N41" s="7"/>
      <c r="O41" s="7"/>
      <c r="P41" s="7"/>
      <c r="Q41" s="16">
        <f>D41+E41+F41+G41+L41+M41+N41+P41</f>
        <v>5210.95</v>
      </c>
      <c r="R41" s="7">
        <v>128.94</v>
      </c>
      <c r="S41" s="7">
        <v>398.59</v>
      </c>
      <c r="T41" s="7">
        <v>11</v>
      </c>
      <c r="U41" s="7">
        <v>166.68</v>
      </c>
      <c r="V41" s="16">
        <f t="shared" si="2"/>
        <v>705.21</v>
      </c>
      <c r="W41" s="16">
        <f t="shared" si="5"/>
        <v>4505.74</v>
      </c>
    </row>
    <row r="42" spans="1:23" x14ac:dyDescent="0.25">
      <c r="A42" s="6" t="s">
        <v>112</v>
      </c>
      <c r="B42" s="6" t="s">
        <v>66</v>
      </c>
      <c r="C42" s="6" t="s">
        <v>86</v>
      </c>
      <c r="D42" s="16">
        <v>8287.5</v>
      </c>
      <c r="E42" s="7"/>
      <c r="F42" s="7"/>
      <c r="G42" s="7"/>
      <c r="H42" s="7">
        <v>759</v>
      </c>
      <c r="I42" s="7">
        <v>450.8</v>
      </c>
      <c r="J42" s="7">
        <v>351.3</v>
      </c>
      <c r="K42" s="7">
        <f>260+260</f>
        <v>520</v>
      </c>
      <c r="L42" s="16">
        <f t="shared" si="4"/>
        <v>2081.1</v>
      </c>
      <c r="M42" s="7"/>
      <c r="N42" s="7"/>
      <c r="O42" s="7"/>
      <c r="P42" s="7"/>
      <c r="Q42" s="16">
        <f>D42+E42+F42+G42+L42+M42+N42+P42</f>
        <v>10368.6</v>
      </c>
      <c r="R42" s="7">
        <v>1190.24</v>
      </c>
      <c r="S42" s="7">
        <v>608.44000000000005</v>
      </c>
      <c r="T42" s="7"/>
      <c r="U42" s="7">
        <v>381.23</v>
      </c>
      <c r="V42" s="16">
        <f t="shared" si="2"/>
        <v>2179.91</v>
      </c>
      <c r="W42" s="16">
        <f t="shared" si="5"/>
        <v>8188.6900000000005</v>
      </c>
    </row>
    <row r="43" spans="1:23" x14ac:dyDescent="0.25">
      <c r="A43" s="5" t="s">
        <v>47</v>
      </c>
      <c r="B43" s="6" t="s">
        <v>66</v>
      </c>
      <c r="C43" s="6" t="s">
        <v>86</v>
      </c>
      <c r="D43" s="16">
        <v>8287.5</v>
      </c>
      <c r="E43" s="7"/>
      <c r="F43" s="7"/>
      <c r="G43" s="7"/>
      <c r="H43" s="7">
        <v>759</v>
      </c>
      <c r="I43" s="7"/>
      <c r="J43" s="7">
        <v>351.3</v>
      </c>
      <c r="K43" s="7"/>
      <c r="L43" s="16">
        <f t="shared" si="4"/>
        <v>1110.3</v>
      </c>
      <c r="M43" s="7"/>
      <c r="N43" s="7"/>
      <c r="O43" s="7"/>
      <c r="P43" s="7"/>
      <c r="Q43" s="16">
        <f>D43+E43+F43+G43+L43+M43+N43+P43</f>
        <v>9397.7999999999993</v>
      </c>
      <c r="R43" s="7">
        <v>1242.3800000000001</v>
      </c>
      <c r="S43" s="7">
        <v>608.44000000000005</v>
      </c>
      <c r="T43" s="7"/>
      <c r="U43" s="7"/>
      <c r="V43" s="16">
        <f t="shared" si="2"/>
        <v>1850.8200000000002</v>
      </c>
      <c r="W43" s="16">
        <f t="shared" si="5"/>
        <v>7546.98</v>
      </c>
    </row>
    <row r="44" spans="1:23" x14ac:dyDescent="0.25">
      <c r="A44" s="5" t="s">
        <v>48</v>
      </c>
      <c r="B44" s="6" t="s">
        <v>66</v>
      </c>
      <c r="C44" s="6" t="s">
        <v>85</v>
      </c>
      <c r="D44" s="16">
        <v>4972.5</v>
      </c>
      <c r="E44" s="7">
        <f>3315+142.1+61.12+23.68</f>
        <v>3541.8999999999996</v>
      </c>
      <c r="F44" s="7"/>
      <c r="G44" s="7"/>
      <c r="H44" s="7">
        <v>429</v>
      </c>
      <c r="I44" s="7"/>
      <c r="J44" s="7"/>
      <c r="K44" s="7"/>
      <c r="L44" s="16">
        <f t="shared" si="4"/>
        <v>429</v>
      </c>
      <c r="M44" s="7">
        <v>1184.03</v>
      </c>
      <c r="N44" s="7"/>
      <c r="O44" s="7"/>
      <c r="P44" s="7"/>
      <c r="Q44" s="16">
        <f>D44+E44+F44+G44+L44+M44+N44+P44+O44</f>
        <v>10127.43</v>
      </c>
      <c r="R44" s="7">
        <f>474.02+312.28</f>
        <v>786.3</v>
      </c>
      <c r="S44" s="7">
        <f>87.47+520.97</f>
        <v>608.44000000000005</v>
      </c>
      <c r="T44" s="7">
        <v>11</v>
      </c>
      <c r="U44" s="7"/>
      <c r="V44" s="16">
        <f t="shared" si="2"/>
        <v>1405.74</v>
      </c>
      <c r="W44" s="16">
        <f t="shared" si="5"/>
        <v>8721.69</v>
      </c>
    </row>
    <row r="45" spans="1:23" x14ac:dyDescent="0.25">
      <c r="A45" s="5" t="s">
        <v>49</v>
      </c>
      <c r="B45" s="6" t="s">
        <v>58</v>
      </c>
      <c r="C45" s="6" t="s">
        <v>81</v>
      </c>
      <c r="D45" s="16">
        <v>3623.52</v>
      </c>
      <c r="E45" s="7"/>
      <c r="F45" s="7"/>
      <c r="G45" s="7"/>
      <c r="H45" s="7">
        <v>759</v>
      </c>
      <c r="I45" s="7">
        <v>565.79999999999995</v>
      </c>
      <c r="J45" s="7">
        <v>507.75</v>
      </c>
      <c r="K45" s="7"/>
      <c r="L45" s="16">
        <f t="shared" si="4"/>
        <v>1832.55</v>
      </c>
      <c r="M45" s="7"/>
      <c r="N45" s="7"/>
      <c r="O45" s="7"/>
      <c r="P45" s="7"/>
      <c r="Q45" s="16">
        <f>D45+E45+F45+G45+L45+M45+N45+P45+O45</f>
        <v>5456.07</v>
      </c>
      <c r="R45" s="7">
        <v>72.06</v>
      </c>
      <c r="S45" s="7">
        <v>398.59</v>
      </c>
      <c r="T45" s="7">
        <f>33+36.24</f>
        <v>69.240000000000009</v>
      </c>
      <c r="U45" s="7">
        <v>166.68</v>
      </c>
      <c r="V45" s="16">
        <f t="shared" si="2"/>
        <v>706.56999999999994</v>
      </c>
      <c r="W45" s="16">
        <f t="shared" si="5"/>
        <v>4749.5</v>
      </c>
    </row>
    <row r="46" spans="1:23" x14ac:dyDescent="0.25">
      <c r="A46" s="5" t="s">
        <v>50</v>
      </c>
      <c r="B46" s="6" t="s">
        <v>122</v>
      </c>
      <c r="C46" s="6" t="s">
        <v>85</v>
      </c>
      <c r="D46" s="16">
        <v>5248.75</v>
      </c>
      <c r="E46" s="7">
        <f>4660.21+35.58+5.93</f>
        <v>4701.72</v>
      </c>
      <c r="F46" s="7"/>
      <c r="G46" s="7"/>
      <c r="H46" s="7">
        <v>462</v>
      </c>
      <c r="I46" s="7">
        <v>120.4</v>
      </c>
      <c r="J46" s="7"/>
      <c r="K46" s="7"/>
      <c r="L46" s="16">
        <f t="shared" si="4"/>
        <v>582.4</v>
      </c>
      <c r="M46" s="7">
        <v>1567.24</v>
      </c>
      <c r="N46" s="7"/>
      <c r="O46" s="7"/>
      <c r="P46" s="7">
        <v>2800.7</v>
      </c>
      <c r="Q46" s="16">
        <f>D46+E46+F46+G46+L46+M46+N46+P46+O46</f>
        <v>14900.810000000001</v>
      </c>
      <c r="R46" s="7">
        <f>1344.24+1941.07</f>
        <v>3285.31</v>
      </c>
      <c r="S46" s="7">
        <v>608.44000000000005</v>
      </c>
      <c r="T46" s="7"/>
      <c r="U46" s="7">
        <v>120.4</v>
      </c>
      <c r="V46" s="16">
        <f t="shared" si="2"/>
        <v>4014.15</v>
      </c>
      <c r="W46" s="16">
        <f t="shared" si="5"/>
        <v>10886.660000000002</v>
      </c>
    </row>
    <row r="47" spans="1:23" x14ac:dyDescent="0.25">
      <c r="A47" s="5" t="s">
        <v>51</v>
      </c>
      <c r="B47" s="6" t="s">
        <v>77</v>
      </c>
      <c r="C47" s="6" t="s">
        <v>83</v>
      </c>
      <c r="D47" s="16">
        <v>4430.3599999999997</v>
      </c>
      <c r="E47" s="7">
        <f>2564.94+44.83+54.97+7.49+109.93</f>
        <v>2782.1599999999994</v>
      </c>
      <c r="F47" s="7"/>
      <c r="G47" s="7"/>
      <c r="H47" s="7">
        <v>462</v>
      </c>
      <c r="I47" s="7">
        <v>106.4</v>
      </c>
      <c r="J47" s="7">
        <v>351.3</v>
      </c>
      <c r="K47" s="7"/>
      <c r="L47" s="16">
        <f t="shared" si="4"/>
        <v>919.7</v>
      </c>
      <c r="M47" s="7">
        <v>860.95</v>
      </c>
      <c r="N47" s="7"/>
      <c r="O47" s="7"/>
      <c r="P47" s="7"/>
      <c r="Q47" s="16">
        <f>D47+E47+F47+G47+L47+M47+N47+P47</f>
        <v>8993.1699999999983</v>
      </c>
      <c r="R47" s="7">
        <f>309.04+148.15</f>
        <v>457.19000000000005</v>
      </c>
      <c r="S47" s="7">
        <f>229.62+378.82</f>
        <v>608.44000000000005</v>
      </c>
      <c r="T47" s="7"/>
      <c r="U47" s="7">
        <v>106.4</v>
      </c>
      <c r="V47" s="16">
        <f t="shared" si="2"/>
        <v>1172.0300000000002</v>
      </c>
      <c r="W47" s="16">
        <f t="shared" si="5"/>
        <v>7821.1399999999976</v>
      </c>
    </row>
    <row r="48" spans="1:23" x14ac:dyDescent="0.25">
      <c r="A48" s="6" t="s">
        <v>53</v>
      </c>
      <c r="B48" s="6" t="s">
        <v>73</v>
      </c>
      <c r="C48" s="6" t="s">
        <v>83</v>
      </c>
      <c r="D48" s="16">
        <v>3623.52</v>
      </c>
      <c r="E48" s="7"/>
      <c r="F48" s="7"/>
      <c r="G48" s="7"/>
      <c r="H48" s="7">
        <v>759</v>
      </c>
      <c r="I48" s="7">
        <v>660.1</v>
      </c>
      <c r="J48" s="7">
        <v>372.32</v>
      </c>
      <c r="K48" s="7"/>
      <c r="L48" s="16">
        <f t="shared" si="4"/>
        <v>1791.4199999999998</v>
      </c>
      <c r="M48" s="7"/>
      <c r="N48" s="7"/>
      <c r="O48" s="7"/>
      <c r="P48" s="7"/>
      <c r="Q48" s="16">
        <f>D48+E48+F48+G48+L48+M48+N48+P48</f>
        <v>5414.94</v>
      </c>
      <c r="R48" s="7">
        <v>128.94</v>
      </c>
      <c r="S48" s="7">
        <v>398.59</v>
      </c>
      <c r="T48" s="7">
        <v>36.24</v>
      </c>
      <c r="U48" s="7">
        <v>166.68</v>
      </c>
      <c r="V48" s="16">
        <f t="shared" si="2"/>
        <v>730.45</v>
      </c>
      <c r="W48" s="16">
        <f t="shared" si="5"/>
        <v>4684.49</v>
      </c>
    </row>
    <row r="49" spans="1:23" x14ac:dyDescent="0.25">
      <c r="A49" s="6" t="s">
        <v>54</v>
      </c>
      <c r="B49" s="6" t="s">
        <v>79</v>
      </c>
      <c r="C49" s="6" t="s">
        <v>87</v>
      </c>
      <c r="D49" s="16">
        <v>6995.3</v>
      </c>
      <c r="E49" s="7"/>
      <c r="F49" s="7"/>
      <c r="G49" s="7"/>
      <c r="H49" s="7">
        <v>759</v>
      </c>
      <c r="I49" s="7">
        <v>197.8</v>
      </c>
      <c r="J49" s="7">
        <v>363.11</v>
      </c>
      <c r="K49" s="7"/>
      <c r="L49" s="16">
        <f t="shared" si="4"/>
        <v>1319.9099999999999</v>
      </c>
      <c r="M49" s="7"/>
      <c r="N49" s="7"/>
      <c r="O49" s="7"/>
      <c r="P49" s="7"/>
      <c r="Q49" s="16">
        <f>D49+E49+F49+G49+L49+M49+N49+P49</f>
        <v>8315.2099999999991</v>
      </c>
      <c r="R49" s="7">
        <v>887.03</v>
      </c>
      <c r="S49" s="7">
        <v>608.44000000000005</v>
      </c>
      <c r="T49" s="7"/>
      <c r="U49" s="7">
        <v>197.8</v>
      </c>
      <c r="V49" s="16">
        <f t="shared" si="2"/>
        <v>1693.27</v>
      </c>
      <c r="W49" s="16">
        <f t="shared" si="5"/>
        <v>6621.9399999999987</v>
      </c>
    </row>
    <row r="50" spans="1:23" x14ac:dyDescent="0.25">
      <c r="A50" s="5" t="s">
        <v>111</v>
      </c>
      <c r="B50" s="6" t="s">
        <v>62</v>
      </c>
      <c r="C50" s="6" t="s">
        <v>85</v>
      </c>
      <c r="D50" s="16">
        <f>898.79+149.8</f>
        <v>1048.5899999999999</v>
      </c>
      <c r="E50" s="7"/>
      <c r="F50" s="7"/>
      <c r="G50" s="7"/>
      <c r="H50" s="7">
        <v>396</v>
      </c>
      <c r="I50" s="7">
        <v>192</v>
      </c>
      <c r="J50" s="7"/>
      <c r="K50" s="7"/>
      <c r="L50" s="16">
        <f t="shared" si="4"/>
        <v>588</v>
      </c>
      <c r="M50" s="7"/>
      <c r="N50" s="7"/>
      <c r="O50" s="7"/>
      <c r="P50" s="7"/>
      <c r="Q50" s="16">
        <f>D50+E50+F50+G50+L50+M50+N50+P50+O50</f>
        <v>1636.59</v>
      </c>
      <c r="R50" s="7"/>
      <c r="S50" s="7"/>
      <c r="T50" s="7"/>
      <c r="U50" s="7"/>
      <c r="V50" s="16">
        <f t="shared" si="2"/>
        <v>0</v>
      </c>
      <c r="W50" s="16">
        <f t="shared" si="5"/>
        <v>1636.59</v>
      </c>
    </row>
    <row r="51" spans="1:23" x14ac:dyDescent="0.25">
      <c r="A51" s="5" t="s">
        <v>55</v>
      </c>
      <c r="B51" s="6" t="s">
        <v>58</v>
      </c>
      <c r="C51" s="6" t="s">
        <v>85</v>
      </c>
      <c r="D51" s="16">
        <v>1811.76</v>
      </c>
      <c r="E51" s="7"/>
      <c r="F51" s="7"/>
      <c r="G51" s="7"/>
      <c r="H51" s="7"/>
      <c r="I51" s="7"/>
      <c r="J51" s="7">
        <v>351.3</v>
      </c>
      <c r="K51" s="7"/>
      <c r="L51" s="16">
        <f t="shared" si="4"/>
        <v>351.3</v>
      </c>
      <c r="M51" s="7"/>
      <c r="N51" s="7"/>
      <c r="O51" s="7">
        <v>500</v>
      </c>
      <c r="P51" s="7"/>
      <c r="Q51" s="16">
        <f>D51+E51+F51+G51+L51+M51+N51+P51+O51</f>
        <v>2663.06</v>
      </c>
      <c r="R51" s="7"/>
      <c r="S51" s="7">
        <v>104.94</v>
      </c>
      <c r="T51" s="7">
        <f>18.12+11+11</f>
        <v>40.120000000000005</v>
      </c>
      <c r="U51" s="7"/>
      <c r="V51" s="16">
        <f t="shared" si="2"/>
        <v>145.06</v>
      </c>
      <c r="W51" s="16">
        <f t="shared" si="5"/>
        <v>2518</v>
      </c>
    </row>
    <row r="52" spans="1:23" x14ac:dyDescent="0.25">
      <c r="A52" s="6" t="s">
        <v>56</v>
      </c>
      <c r="B52" s="6" t="s">
        <v>121</v>
      </c>
      <c r="C52" s="6" t="s">
        <v>89</v>
      </c>
      <c r="D52" s="16">
        <v>6995.3</v>
      </c>
      <c r="E52" s="7"/>
      <c r="F52" s="7"/>
      <c r="G52" s="7"/>
      <c r="H52" s="7">
        <v>759</v>
      </c>
      <c r="I52" s="7"/>
      <c r="J52" s="7"/>
      <c r="K52" s="7"/>
      <c r="L52" s="16">
        <f t="shared" si="4"/>
        <v>759</v>
      </c>
      <c r="M52" s="7"/>
      <c r="N52" s="7"/>
      <c r="O52" s="7"/>
      <c r="P52" s="7">
        <v>5714.36</v>
      </c>
      <c r="Q52" s="16">
        <f>D52+E52+F52+G52+L52+M52+N52+P52</f>
        <v>13468.66</v>
      </c>
      <c r="R52" s="7">
        <v>2458.48</v>
      </c>
      <c r="S52" s="7">
        <v>608.44000000000005</v>
      </c>
      <c r="T52" s="7"/>
      <c r="U52" s="7"/>
      <c r="V52" s="16">
        <f t="shared" si="2"/>
        <v>3066.92</v>
      </c>
      <c r="W52" s="16">
        <f t="shared" si="5"/>
        <v>10401.74</v>
      </c>
    </row>
    <row r="53" spans="1:23" x14ac:dyDescent="0.25">
      <c r="A53" s="6" t="s">
        <v>57</v>
      </c>
      <c r="B53" s="6" t="s">
        <v>62</v>
      </c>
      <c r="C53" s="6" t="s">
        <v>91</v>
      </c>
      <c r="D53" s="16">
        <f>898.79+149.8</f>
        <v>1048.5899999999999</v>
      </c>
      <c r="E53" s="7"/>
      <c r="F53" s="7"/>
      <c r="G53" s="7"/>
      <c r="H53" s="7">
        <v>759</v>
      </c>
      <c r="I53" s="7">
        <v>368</v>
      </c>
      <c r="J53" s="7"/>
      <c r="K53" s="7"/>
      <c r="L53" s="16">
        <f t="shared" si="4"/>
        <v>1127</v>
      </c>
      <c r="M53" s="16"/>
      <c r="N53" s="7"/>
      <c r="O53" s="7"/>
      <c r="P53" s="7"/>
      <c r="Q53" s="16">
        <f>D53+E53+F53+G53+L53+M53+N53+P53</f>
        <v>2175.59</v>
      </c>
      <c r="R53" s="7"/>
      <c r="S53" s="16"/>
      <c r="T53" s="16"/>
      <c r="U53" s="16"/>
      <c r="V53" s="16">
        <f t="shared" si="2"/>
        <v>0</v>
      </c>
      <c r="W53" s="16">
        <f t="shared" si="5"/>
        <v>2175.59</v>
      </c>
    </row>
    <row r="54" spans="1:23" x14ac:dyDescent="0.25">
      <c r="A54" s="5" t="s">
        <v>127</v>
      </c>
      <c r="B54" s="6" t="s">
        <v>62</v>
      </c>
      <c r="C54" s="6" t="s">
        <v>87</v>
      </c>
      <c r="D54" s="16">
        <f>898.79+149.8</f>
        <v>1048.5899999999999</v>
      </c>
      <c r="E54" s="7"/>
      <c r="F54" s="7"/>
      <c r="G54" s="7"/>
      <c r="H54" s="7">
        <v>759</v>
      </c>
      <c r="I54" s="7">
        <v>368</v>
      </c>
      <c r="J54" s="7"/>
      <c r="K54" s="7"/>
      <c r="L54" s="16">
        <f t="shared" si="4"/>
        <v>1127</v>
      </c>
      <c r="M54" s="7"/>
      <c r="N54" s="7"/>
      <c r="O54" s="7"/>
      <c r="P54" s="7"/>
      <c r="Q54" s="16">
        <f>D54+E54+F54+G54+L54+M54+N54+P54</f>
        <v>2175.59</v>
      </c>
      <c r="R54" s="7"/>
      <c r="S54" s="7"/>
      <c r="T54" s="7"/>
      <c r="U54" s="7"/>
      <c r="V54" s="16">
        <f t="shared" si="2"/>
        <v>0</v>
      </c>
      <c r="W54" s="16">
        <f t="shared" si="5"/>
        <v>2175.59</v>
      </c>
    </row>
    <row r="55" spans="1:23" hidden="1" x14ac:dyDescent="0.25">
      <c r="H55" s="1">
        <f>SUM(H5:H54)</f>
        <v>32703</v>
      </c>
      <c r="I55" s="1">
        <f>SUM(I5:I54)</f>
        <v>11942.929999999998</v>
      </c>
      <c r="J55" s="1">
        <f>SUM(J5:J54)</f>
        <v>12009.839999999997</v>
      </c>
      <c r="K55" s="1"/>
      <c r="L55" s="1"/>
      <c r="Q55" s="3"/>
      <c r="W55" s="1">
        <f>SUM(W5:W54)</f>
        <v>278541.20999999996</v>
      </c>
    </row>
    <row r="56" spans="1:23" x14ac:dyDescent="0.25">
      <c r="H56" s="1"/>
      <c r="I56" s="1"/>
      <c r="J56" s="1"/>
      <c r="K56" s="1"/>
      <c r="L56" s="1"/>
      <c r="Q56" s="3"/>
      <c r="W56" s="1"/>
    </row>
    <row r="57" spans="1:23" x14ac:dyDescent="0.25">
      <c r="Q57" s="3"/>
    </row>
    <row r="58" spans="1:23" ht="19.5" x14ac:dyDescent="0.3">
      <c r="A58" s="17" t="s">
        <v>95</v>
      </c>
      <c r="Q58" s="3"/>
    </row>
    <row r="59" spans="1:23" ht="19.5" x14ac:dyDescent="0.25">
      <c r="A59" s="20" t="s">
        <v>0</v>
      </c>
      <c r="B59" s="21" t="s">
        <v>1</v>
      </c>
      <c r="C59" s="21" t="s">
        <v>2</v>
      </c>
      <c r="D59" s="21" t="s">
        <v>98</v>
      </c>
      <c r="E59" s="21" t="s">
        <v>97</v>
      </c>
      <c r="F59" s="21" t="s">
        <v>10</v>
      </c>
      <c r="G59" s="20" t="s">
        <v>11</v>
      </c>
      <c r="H59" s="18"/>
      <c r="I59" s="18"/>
      <c r="J59" s="18"/>
      <c r="K59" s="18"/>
      <c r="L59" s="21" t="s">
        <v>96</v>
      </c>
      <c r="M59" s="19"/>
      <c r="N59" s="19"/>
      <c r="O59" s="19"/>
      <c r="P59" s="19"/>
      <c r="Q59" s="19"/>
      <c r="R59" s="19"/>
      <c r="S59" s="19"/>
      <c r="T59" s="19"/>
      <c r="U59" s="19"/>
    </row>
    <row r="60" spans="1:23" x14ac:dyDescent="0.25">
      <c r="A60" s="5" t="s">
        <v>107</v>
      </c>
      <c r="B60" s="15" t="s">
        <v>71</v>
      </c>
      <c r="C60" s="6" t="s">
        <v>87</v>
      </c>
      <c r="D60" s="16">
        <v>3498.6</v>
      </c>
      <c r="Q60" s="3"/>
    </row>
    <row r="61" spans="1:23" x14ac:dyDescent="0.25">
      <c r="A61" s="5" t="s">
        <v>51</v>
      </c>
      <c r="B61" s="6" t="s">
        <v>77</v>
      </c>
      <c r="C61" s="6" t="s">
        <v>83</v>
      </c>
      <c r="D61" s="16">
        <v>3736.81</v>
      </c>
      <c r="Q61" s="3"/>
    </row>
    <row r="62" spans="1:23" x14ac:dyDescent="0.25">
      <c r="Q62" s="3"/>
    </row>
    <row r="63" spans="1:23" x14ac:dyDescent="0.25">
      <c r="Q63" s="3"/>
    </row>
    <row r="64" spans="1:23" x14ac:dyDescent="0.25">
      <c r="Q64" s="3"/>
    </row>
    <row r="65" spans="17:17" x14ac:dyDescent="0.25">
      <c r="Q65" s="3"/>
    </row>
    <row r="66" spans="17:17" x14ac:dyDescent="0.25">
      <c r="Q66" s="3"/>
    </row>
    <row r="67" spans="17:17" x14ac:dyDescent="0.25">
      <c r="Q67" s="3"/>
    </row>
    <row r="68" spans="17:17" x14ac:dyDescent="0.25">
      <c r="Q68" s="3"/>
    </row>
    <row r="69" spans="17:17" x14ac:dyDescent="0.25">
      <c r="Q69" s="3"/>
    </row>
    <row r="70" spans="17:17" x14ac:dyDescent="0.25">
      <c r="Q70" s="3"/>
    </row>
    <row r="71" spans="17:17" x14ac:dyDescent="0.25">
      <c r="Q71" s="3"/>
    </row>
    <row r="72" spans="17:17" x14ac:dyDescent="0.25">
      <c r="Q72" s="3"/>
    </row>
    <row r="73" spans="17:17" x14ac:dyDescent="0.25">
      <c r="Q73" s="3"/>
    </row>
    <row r="74" spans="17:17" x14ac:dyDescent="0.25">
      <c r="Q74" s="3"/>
    </row>
    <row r="75" spans="17:17" x14ac:dyDescent="0.25">
      <c r="Q75" s="3"/>
    </row>
    <row r="76" spans="17:17" x14ac:dyDescent="0.25">
      <c r="Q76" s="3"/>
    </row>
    <row r="77" spans="17:17" x14ac:dyDescent="0.25">
      <c r="Q77" s="3"/>
    </row>
    <row r="78" spans="17:17" x14ac:dyDescent="0.25">
      <c r="Q78" s="3"/>
    </row>
    <row r="79" spans="17:17" x14ac:dyDescent="0.25">
      <c r="Q79" s="3"/>
    </row>
    <row r="80" spans="17:17" x14ac:dyDescent="0.25">
      <c r="Q80" s="3"/>
    </row>
    <row r="81" spans="17:17" x14ac:dyDescent="0.25">
      <c r="Q81" s="3"/>
    </row>
    <row r="82" spans="17:17" x14ac:dyDescent="0.25">
      <c r="Q82" s="3"/>
    </row>
    <row r="83" spans="17:17" x14ac:dyDescent="0.25">
      <c r="Q83" s="3"/>
    </row>
    <row r="84" spans="17:17" x14ac:dyDescent="0.25">
      <c r="Q84" s="3"/>
    </row>
    <row r="85" spans="17:17" x14ac:dyDescent="0.25">
      <c r="Q85" s="3"/>
    </row>
    <row r="86" spans="17:17" x14ac:dyDescent="0.25">
      <c r="Q86" s="3"/>
    </row>
    <row r="87" spans="17:17" x14ac:dyDescent="0.25">
      <c r="Q87" s="3"/>
    </row>
    <row r="88" spans="17:17" x14ac:dyDescent="0.25">
      <c r="Q88" s="3"/>
    </row>
    <row r="89" spans="17:17" x14ac:dyDescent="0.25">
      <c r="Q89" s="3"/>
    </row>
    <row r="90" spans="17:17" x14ac:dyDescent="0.25">
      <c r="Q90" s="3"/>
    </row>
    <row r="91" spans="17:17" x14ac:dyDescent="0.25">
      <c r="Q91" s="3"/>
    </row>
    <row r="92" spans="17:17" x14ac:dyDescent="0.25">
      <c r="Q92" s="3"/>
    </row>
    <row r="93" spans="17:17" x14ac:dyDescent="0.25">
      <c r="Q93" s="3"/>
    </row>
    <row r="94" spans="17:17" x14ac:dyDescent="0.25">
      <c r="Q94" s="3"/>
    </row>
    <row r="95" spans="17:17" x14ac:dyDescent="0.25">
      <c r="Q95" s="3"/>
    </row>
    <row r="96" spans="17:17" x14ac:dyDescent="0.25">
      <c r="Q96" s="3"/>
    </row>
    <row r="97" spans="17:17" x14ac:dyDescent="0.25">
      <c r="Q97" s="3"/>
    </row>
    <row r="98" spans="17:17" x14ac:dyDescent="0.25">
      <c r="Q98" s="3"/>
    </row>
    <row r="99" spans="17:17" x14ac:dyDescent="0.25">
      <c r="Q99" s="3"/>
    </row>
    <row r="100" spans="17:17" x14ac:dyDescent="0.25">
      <c r="Q100" s="3"/>
    </row>
    <row r="101" spans="17:17" x14ac:dyDescent="0.25">
      <c r="Q101" s="3"/>
    </row>
    <row r="102" spans="17:17" x14ac:dyDescent="0.25">
      <c r="Q102" s="3"/>
    </row>
    <row r="103" spans="17:17" x14ac:dyDescent="0.25">
      <c r="Q103" s="3"/>
    </row>
    <row r="104" spans="17:17" x14ac:dyDescent="0.25">
      <c r="Q104" s="3"/>
    </row>
    <row r="105" spans="17:17" x14ac:dyDescent="0.25">
      <c r="Q105" s="3"/>
    </row>
    <row r="106" spans="17:17" x14ac:dyDescent="0.25">
      <c r="Q106" s="3"/>
    </row>
    <row r="107" spans="17:17" x14ac:dyDescent="0.25">
      <c r="Q107" s="3"/>
    </row>
    <row r="108" spans="17:17" x14ac:dyDescent="0.25">
      <c r="Q108" s="3"/>
    </row>
    <row r="109" spans="17:17" x14ac:dyDescent="0.25">
      <c r="Q109" s="3"/>
    </row>
    <row r="110" spans="17:17" x14ac:dyDescent="0.25">
      <c r="Q110" s="3"/>
    </row>
    <row r="111" spans="17:17" x14ac:dyDescent="0.25">
      <c r="Q111" s="3"/>
    </row>
    <row r="112" spans="17:17" x14ac:dyDescent="0.25">
      <c r="Q112" s="3"/>
    </row>
    <row r="113" spans="17:17" x14ac:dyDescent="0.25">
      <c r="Q113" s="3"/>
    </row>
    <row r="114" spans="17:17" x14ac:dyDescent="0.25">
      <c r="Q114" s="3"/>
    </row>
    <row r="115" spans="17:17" x14ac:dyDescent="0.25">
      <c r="Q115" s="3"/>
    </row>
  </sheetData>
  <autoFilter ref="A4:W61"/>
  <sortState ref="A5:W54">
    <sortCondition ref="A4"/>
  </sortState>
  <pageMargins left="0.51181102362204722" right="0.51181102362204722" top="0.78740157480314965" bottom="0.78740157480314965" header="0.31496062992125984" footer="0.31496062992125984"/>
  <pageSetup paperSize="9" scale="34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61" sqref="A1:W61"/>
    </sheetView>
  </sheetViews>
  <sheetFormatPr defaultRowHeight="15" x14ac:dyDescent="0.25"/>
  <cols>
    <col min="1" max="1" width="51.7109375" style="2" bestFit="1" customWidth="1"/>
    <col min="2" max="2" width="34.140625" style="2" customWidth="1"/>
    <col min="3" max="3" width="32.28515625" style="2" customWidth="1"/>
    <col min="4" max="4" width="19.140625" style="2" customWidth="1"/>
    <col min="5" max="5" width="14.85546875" style="2" customWidth="1"/>
    <col min="6" max="6" width="19.140625" style="2" customWidth="1"/>
    <col min="7" max="7" width="12.28515625" style="2" customWidth="1"/>
    <col min="8" max="11" width="22" style="2" hidden="1" customWidth="1"/>
    <col min="12" max="12" width="22" style="2" customWidth="1"/>
    <col min="13" max="13" width="19.7109375" style="2" customWidth="1"/>
    <col min="14" max="15" width="22.140625" style="2" customWidth="1"/>
    <col min="16" max="16" width="16.28515625" style="2" customWidth="1"/>
    <col min="17" max="17" width="20.28515625" style="2" customWidth="1"/>
    <col min="18" max="18" width="13" style="2" bestFit="1" customWidth="1"/>
    <col min="19" max="19" width="12.140625" style="2" bestFit="1" customWidth="1"/>
    <col min="20" max="20" width="18.85546875" style="2" bestFit="1" customWidth="1"/>
    <col min="21" max="21" width="11.42578125" style="2" bestFit="1" customWidth="1"/>
    <col min="22" max="22" width="17.5703125" style="2" bestFit="1" customWidth="1"/>
    <col min="23" max="23" width="14.85546875" style="2" bestFit="1" customWidth="1"/>
    <col min="24" max="16384" width="9.140625" style="2"/>
  </cols>
  <sheetData>
    <row r="1" spans="1:23" ht="18.75" x14ac:dyDescent="0.3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x14ac:dyDescent="0.3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23" ht="31.5" x14ac:dyDescent="0.2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15</v>
      </c>
      <c r="G4" s="20" t="s">
        <v>5</v>
      </c>
      <c r="H4" s="18" t="s">
        <v>94</v>
      </c>
      <c r="I4" s="18" t="s">
        <v>92</v>
      </c>
      <c r="J4" s="18" t="s">
        <v>115</v>
      </c>
      <c r="K4" s="18" t="s">
        <v>109</v>
      </c>
      <c r="L4" s="21" t="s">
        <v>6</v>
      </c>
      <c r="M4" s="21" t="s">
        <v>7</v>
      </c>
      <c r="N4" s="21" t="s">
        <v>101</v>
      </c>
      <c r="O4" s="20" t="s">
        <v>135</v>
      </c>
      <c r="P4" s="20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92</v>
      </c>
      <c r="V4" s="20" t="s">
        <v>13</v>
      </c>
      <c r="W4" s="21" t="s">
        <v>14</v>
      </c>
    </row>
    <row r="5" spans="1:23" x14ac:dyDescent="0.25">
      <c r="A5" s="5" t="s">
        <v>16</v>
      </c>
      <c r="B5" s="6" t="s">
        <v>58</v>
      </c>
      <c r="C5" s="6" t="s">
        <v>81</v>
      </c>
      <c r="D5" s="16">
        <v>3623.52</v>
      </c>
      <c r="E5" s="7"/>
      <c r="F5" s="7"/>
      <c r="G5" s="7"/>
      <c r="H5" s="7">
        <v>660</v>
      </c>
      <c r="I5" s="7">
        <f>260+260</f>
        <v>520</v>
      </c>
      <c r="J5" s="7">
        <v>424.17</v>
      </c>
      <c r="K5" s="7"/>
      <c r="L5" s="16">
        <f t="shared" ref="L5:L36" si="0">H5+I5+K5+J5</f>
        <v>1604.17</v>
      </c>
      <c r="M5" s="7"/>
      <c r="N5" s="7"/>
      <c r="O5" s="7"/>
      <c r="P5" s="7"/>
      <c r="Q5" s="16">
        <f t="shared" ref="Q5:Q29" si="1">D5+E5+F5+G5+L5+M5+N5+P5</f>
        <v>5227.6900000000005</v>
      </c>
      <c r="R5" s="7">
        <v>106.89</v>
      </c>
      <c r="S5" s="7">
        <v>380.42</v>
      </c>
      <c r="T5" s="7">
        <f>57.37+107.8+36.24+12.49</f>
        <v>213.9</v>
      </c>
      <c r="U5" s="7">
        <v>144.94</v>
      </c>
      <c r="V5" s="16">
        <f>R5+S5+T5+U5</f>
        <v>846.15000000000009</v>
      </c>
      <c r="W5" s="16">
        <f t="shared" ref="W5:W36" si="2">Q5-V5</f>
        <v>4381.5400000000009</v>
      </c>
    </row>
    <row r="6" spans="1:23" x14ac:dyDescent="0.25">
      <c r="A6" s="5" t="s">
        <v>17</v>
      </c>
      <c r="B6" s="6" t="s">
        <v>59</v>
      </c>
      <c r="C6" s="6" t="s">
        <v>89</v>
      </c>
      <c r="D6" s="16">
        <v>3623.52</v>
      </c>
      <c r="E6" s="7"/>
      <c r="F6" s="7"/>
      <c r="G6" s="7"/>
      <c r="H6" s="7">
        <v>660</v>
      </c>
      <c r="I6" s="7"/>
      <c r="J6" s="16"/>
      <c r="K6" s="7">
        <f>260</f>
        <v>260</v>
      </c>
      <c r="L6" s="16">
        <f t="shared" si="0"/>
        <v>920</v>
      </c>
      <c r="M6" s="7"/>
      <c r="N6" s="7"/>
      <c r="O6" s="7"/>
      <c r="P6" s="7"/>
      <c r="Q6" s="16">
        <f t="shared" si="1"/>
        <v>4543.5200000000004</v>
      </c>
      <c r="R6" s="7">
        <v>70.61</v>
      </c>
      <c r="S6" s="7">
        <v>397.39</v>
      </c>
      <c r="T6" s="7">
        <v>10.87</v>
      </c>
      <c r="U6" s="7"/>
      <c r="V6" s="16">
        <f>R6+S6+T6+U6</f>
        <v>478.87</v>
      </c>
      <c r="W6" s="16">
        <f t="shared" si="2"/>
        <v>4064.6500000000005</v>
      </c>
    </row>
    <row r="7" spans="1:23" x14ac:dyDescent="0.25">
      <c r="A7" s="8" t="s">
        <v>19</v>
      </c>
      <c r="B7" s="9" t="s">
        <v>61</v>
      </c>
      <c r="C7" s="9" t="s">
        <v>84</v>
      </c>
      <c r="D7" s="16">
        <v>5304.22</v>
      </c>
      <c r="E7" s="7"/>
      <c r="F7" s="7"/>
      <c r="G7" s="7"/>
      <c r="H7" s="7">
        <v>660</v>
      </c>
      <c r="I7" s="7">
        <v>152</v>
      </c>
      <c r="J7" s="7">
        <v>424.17</v>
      </c>
      <c r="K7" s="7"/>
      <c r="L7" s="16">
        <f t="shared" si="0"/>
        <v>1236.17</v>
      </c>
      <c r="M7" s="7"/>
      <c r="N7" s="7"/>
      <c r="O7" s="7"/>
      <c r="P7" s="7"/>
      <c r="Q7" s="16">
        <f t="shared" si="1"/>
        <v>6540.39</v>
      </c>
      <c r="R7" s="7">
        <v>340.73</v>
      </c>
      <c r="S7" s="7">
        <v>583.46</v>
      </c>
      <c r="T7" s="7"/>
      <c r="U7" s="7">
        <v>152</v>
      </c>
      <c r="V7" s="16">
        <f>R7+S7+T7+U7</f>
        <v>1076.19</v>
      </c>
      <c r="W7" s="16">
        <f t="shared" si="2"/>
        <v>5464.2000000000007</v>
      </c>
    </row>
    <row r="8" spans="1:23" x14ac:dyDescent="0.25">
      <c r="A8" s="6" t="s">
        <v>20</v>
      </c>
      <c r="B8" s="6" t="s">
        <v>58</v>
      </c>
      <c r="C8" s="6" t="s">
        <v>81</v>
      </c>
      <c r="D8" s="16">
        <v>3623.52</v>
      </c>
      <c r="E8" s="7"/>
      <c r="F8" s="7"/>
      <c r="G8" s="7"/>
      <c r="H8" s="7">
        <v>660</v>
      </c>
      <c r="I8" s="7">
        <v>324</v>
      </c>
      <c r="J8" s="7">
        <v>450.64</v>
      </c>
      <c r="K8" s="7"/>
      <c r="L8" s="16">
        <f t="shared" si="0"/>
        <v>1434.6399999999999</v>
      </c>
      <c r="M8" s="7"/>
      <c r="N8" s="7"/>
      <c r="O8" s="7"/>
      <c r="P8" s="7"/>
      <c r="Q8" s="16">
        <f t="shared" si="1"/>
        <v>5058.16</v>
      </c>
      <c r="R8" s="2">
        <v>97.36</v>
      </c>
      <c r="S8" s="7">
        <v>396</v>
      </c>
      <c r="T8" s="7">
        <f>17.21+6.34+24.98+36.24</f>
        <v>84.77000000000001</v>
      </c>
      <c r="U8" s="7">
        <v>144.94</v>
      </c>
      <c r="V8" s="16">
        <f>R8+S8+T8+U8</f>
        <v>723.06999999999994</v>
      </c>
      <c r="W8" s="16">
        <f t="shared" si="2"/>
        <v>4335.09</v>
      </c>
    </row>
    <row r="9" spans="1:23" x14ac:dyDescent="0.25">
      <c r="A9" s="5" t="s">
        <v>105</v>
      </c>
      <c r="B9" s="6" t="s">
        <v>62</v>
      </c>
      <c r="C9" s="6" t="s">
        <v>83</v>
      </c>
      <c r="D9" s="16">
        <v>1348.19</v>
      </c>
      <c r="E9" s="7"/>
      <c r="F9" s="7"/>
      <c r="G9" s="7"/>
      <c r="H9" s="7">
        <v>297</v>
      </c>
      <c r="I9" s="7">
        <v>172</v>
      </c>
      <c r="J9" s="7"/>
      <c r="K9" s="7"/>
      <c r="L9" s="16">
        <f t="shared" si="0"/>
        <v>469</v>
      </c>
      <c r="M9" s="10"/>
      <c r="N9" s="7"/>
      <c r="O9" s="7"/>
      <c r="P9" s="7"/>
      <c r="Q9" s="16">
        <f t="shared" si="1"/>
        <v>1817.19</v>
      </c>
      <c r="R9" s="7"/>
      <c r="S9" s="7"/>
      <c r="T9" s="7"/>
      <c r="U9" s="7"/>
      <c r="V9" s="16"/>
      <c r="W9" s="16">
        <f t="shared" si="2"/>
        <v>1817.19</v>
      </c>
    </row>
    <row r="10" spans="1:23" x14ac:dyDescent="0.25">
      <c r="A10" s="5" t="s">
        <v>21</v>
      </c>
      <c r="B10" s="6" t="s">
        <v>58</v>
      </c>
      <c r="C10" s="6" t="s">
        <v>85</v>
      </c>
      <c r="D10" s="16">
        <v>3623.52</v>
      </c>
      <c r="E10" s="7"/>
      <c r="F10" s="7"/>
      <c r="G10" s="7"/>
      <c r="H10" s="7">
        <v>660</v>
      </c>
      <c r="I10" s="7">
        <v>152</v>
      </c>
      <c r="J10" s="7"/>
      <c r="K10" s="7"/>
      <c r="L10" s="16">
        <f t="shared" si="0"/>
        <v>812</v>
      </c>
      <c r="M10" s="7"/>
      <c r="N10" s="7"/>
      <c r="O10" s="7"/>
      <c r="P10" s="7"/>
      <c r="Q10" s="16">
        <f t="shared" si="1"/>
        <v>4435.5200000000004</v>
      </c>
      <c r="R10" s="7">
        <v>128.94</v>
      </c>
      <c r="S10" s="7">
        <v>398.59</v>
      </c>
      <c r="T10" s="7">
        <f>36.24</f>
        <v>36.24</v>
      </c>
      <c r="U10" s="7">
        <v>144.94</v>
      </c>
      <c r="V10" s="16">
        <f t="shared" ref="V10:V54" si="3">R10+S10+T10+U10</f>
        <v>708.71</v>
      </c>
      <c r="W10" s="16">
        <f t="shared" si="2"/>
        <v>3726.8100000000004</v>
      </c>
    </row>
    <row r="11" spans="1:23" x14ac:dyDescent="0.25">
      <c r="A11" s="6" t="s">
        <v>23</v>
      </c>
      <c r="B11" s="6" t="s">
        <v>63</v>
      </c>
      <c r="C11" s="6" t="s">
        <v>87</v>
      </c>
      <c r="D11" s="16">
        <v>9677.56</v>
      </c>
      <c r="E11" s="10"/>
      <c r="F11" s="7"/>
      <c r="G11" s="7"/>
      <c r="H11" s="7">
        <v>660</v>
      </c>
      <c r="I11" s="7"/>
      <c r="J11" s="7">
        <v>371.83</v>
      </c>
      <c r="K11" s="7"/>
      <c r="L11" s="16">
        <f t="shared" si="0"/>
        <v>1031.83</v>
      </c>
      <c r="M11" s="10"/>
      <c r="N11" s="7"/>
      <c r="O11" s="7"/>
      <c r="P11" s="7"/>
      <c r="Q11" s="16">
        <f t="shared" si="1"/>
        <v>10709.39</v>
      </c>
      <c r="R11" s="7">
        <v>1624.65</v>
      </c>
      <c r="S11" s="7">
        <v>608.44000000000005</v>
      </c>
      <c r="T11" s="7"/>
      <c r="U11" s="7"/>
      <c r="V11" s="16">
        <f t="shared" si="3"/>
        <v>2233.09</v>
      </c>
      <c r="W11" s="16">
        <f t="shared" si="2"/>
        <v>8476.2999999999993</v>
      </c>
    </row>
    <row r="12" spans="1:23" x14ac:dyDescent="0.25">
      <c r="A12" s="6" t="s">
        <v>24</v>
      </c>
      <c r="B12" s="6" t="s">
        <v>58</v>
      </c>
      <c r="C12" s="6" t="s">
        <v>85</v>
      </c>
      <c r="D12" s="16">
        <v>3623.52</v>
      </c>
      <c r="E12" s="7"/>
      <c r="F12" s="7"/>
      <c r="G12" s="7">
        <f>41.22+6.87</f>
        <v>48.089999999999996</v>
      </c>
      <c r="H12" s="7">
        <v>660</v>
      </c>
      <c r="I12" s="7">
        <v>324</v>
      </c>
      <c r="J12" s="7"/>
      <c r="K12" s="7"/>
      <c r="L12" s="16">
        <f t="shared" si="0"/>
        <v>984</v>
      </c>
      <c r="M12" s="7"/>
      <c r="N12" s="7"/>
      <c r="O12" s="7"/>
      <c r="P12" s="7"/>
      <c r="Q12" s="16">
        <f t="shared" si="1"/>
        <v>4655.6100000000006</v>
      </c>
      <c r="R12" s="7">
        <v>135.36000000000001</v>
      </c>
      <c r="S12" s="7">
        <v>403.88</v>
      </c>
      <c r="T12" s="7"/>
      <c r="U12" s="7">
        <v>144.94</v>
      </c>
      <c r="V12" s="16">
        <f t="shared" si="3"/>
        <v>684.18000000000006</v>
      </c>
      <c r="W12" s="16">
        <f t="shared" si="2"/>
        <v>3971.4300000000003</v>
      </c>
    </row>
    <row r="13" spans="1:23" x14ac:dyDescent="0.25">
      <c r="A13" s="11" t="s">
        <v>25</v>
      </c>
      <c r="B13" s="12" t="s">
        <v>64</v>
      </c>
      <c r="C13" s="12" t="s">
        <v>88</v>
      </c>
      <c r="D13" s="16">
        <v>9677.56</v>
      </c>
      <c r="E13" s="7"/>
      <c r="F13" s="7"/>
      <c r="G13" s="7"/>
      <c r="H13" s="7">
        <v>495</v>
      </c>
      <c r="I13" s="7">
        <v>129</v>
      </c>
      <c r="J13" s="7"/>
      <c r="K13" s="7"/>
      <c r="L13" s="16">
        <f t="shared" si="0"/>
        <v>624</v>
      </c>
      <c r="M13" s="7"/>
      <c r="N13" s="7"/>
      <c r="O13" s="7"/>
      <c r="P13" s="7"/>
      <c r="Q13" s="16">
        <f t="shared" si="1"/>
        <v>10301.56</v>
      </c>
      <c r="R13" s="7">
        <v>1624.65</v>
      </c>
      <c r="S13" s="7">
        <v>608.44000000000005</v>
      </c>
      <c r="T13" s="7"/>
      <c r="U13" s="7">
        <v>129</v>
      </c>
      <c r="V13" s="16">
        <f t="shared" si="3"/>
        <v>2362.09</v>
      </c>
      <c r="W13" s="16">
        <f t="shared" si="2"/>
        <v>7939.4699999999993</v>
      </c>
    </row>
    <row r="14" spans="1:23" x14ac:dyDescent="0.25">
      <c r="A14" s="5" t="s">
        <v>103</v>
      </c>
      <c r="B14" s="6" t="s">
        <v>62</v>
      </c>
      <c r="C14" s="6" t="s">
        <v>89</v>
      </c>
      <c r="D14" s="16">
        <v>1348.19</v>
      </c>
      <c r="E14" s="7"/>
      <c r="F14" s="7"/>
      <c r="G14" s="7"/>
      <c r="H14" s="7">
        <v>660</v>
      </c>
      <c r="I14" s="7">
        <v>320</v>
      </c>
      <c r="J14" s="7"/>
      <c r="K14" s="7"/>
      <c r="L14" s="16">
        <f t="shared" si="0"/>
        <v>980</v>
      </c>
      <c r="M14" s="7"/>
      <c r="N14" s="7"/>
      <c r="O14" s="7"/>
      <c r="P14" s="7"/>
      <c r="Q14" s="16">
        <f t="shared" si="1"/>
        <v>2328.19</v>
      </c>
      <c r="R14" s="7"/>
      <c r="S14" s="7"/>
      <c r="T14" s="7"/>
      <c r="U14" s="7"/>
      <c r="V14" s="16">
        <f t="shared" si="3"/>
        <v>0</v>
      </c>
      <c r="W14" s="16">
        <f t="shared" si="2"/>
        <v>2328.19</v>
      </c>
    </row>
    <row r="15" spans="1:23" x14ac:dyDescent="0.25">
      <c r="A15" s="11" t="s">
        <v>99</v>
      </c>
      <c r="B15" s="13" t="s">
        <v>65</v>
      </c>
      <c r="C15" s="13" t="s">
        <v>84</v>
      </c>
      <c r="D15" s="16"/>
      <c r="E15" s="7"/>
      <c r="F15" s="7"/>
      <c r="G15" s="7"/>
      <c r="H15" s="7"/>
      <c r="I15" s="7"/>
      <c r="J15" s="7">
        <v>840.79</v>
      </c>
      <c r="K15" s="7"/>
      <c r="L15" s="16">
        <f t="shared" si="0"/>
        <v>840.79</v>
      </c>
      <c r="M15" s="7"/>
      <c r="N15" s="7"/>
      <c r="O15" s="7"/>
      <c r="P15" s="7">
        <v>1530.26</v>
      </c>
      <c r="Q15" s="16">
        <f t="shared" si="1"/>
        <v>2371.0500000000002</v>
      </c>
      <c r="R15" s="7"/>
      <c r="S15" s="7"/>
      <c r="T15" s="7">
        <f>455.55+151.85</f>
        <v>607.4</v>
      </c>
      <c r="U15" s="7"/>
      <c r="V15" s="16">
        <f t="shared" si="3"/>
        <v>607.4</v>
      </c>
      <c r="W15" s="16">
        <f t="shared" si="2"/>
        <v>1763.65</v>
      </c>
    </row>
    <row r="16" spans="1:23" x14ac:dyDescent="0.25">
      <c r="A16" s="5" t="s">
        <v>26</v>
      </c>
      <c r="B16" s="6" t="s">
        <v>58</v>
      </c>
      <c r="C16" s="6" t="s">
        <v>81</v>
      </c>
      <c r="D16" s="16">
        <v>3623.52</v>
      </c>
      <c r="E16" s="7"/>
      <c r="F16" s="7"/>
      <c r="G16" s="7">
        <f>9.96+7.7+2.94</f>
        <v>20.6</v>
      </c>
      <c r="H16" s="7">
        <v>660</v>
      </c>
      <c r="I16" s="7">
        <v>324</v>
      </c>
      <c r="J16" s="7">
        <v>351.3</v>
      </c>
      <c r="K16" s="7"/>
      <c r="L16" s="16">
        <f t="shared" si="0"/>
        <v>1335.3</v>
      </c>
      <c r="M16" s="7"/>
      <c r="N16" s="7"/>
      <c r="O16" s="7"/>
      <c r="P16" s="7"/>
      <c r="Q16" s="16">
        <f t="shared" si="1"/>
        <v>4979.42</v>
      </c>
      <c r="R16" s="7">
        <v>131.69</v>
      </c>
      <c r="S16" s="7">
        <v>400.85</v>
      </c>
      <c r="T16" s="7">
        <f>12.49+36.24</f>
        <v>48.730000000000004</v>
      </c>
      <c r="U16" s="7">
        <v>144.94</v>
      </c>
      <c r="V16" s="16">
        <f t="shared" si="3"/>
        <v>726.21</v>
      </c>
      <c r="W16" s="16">
        <f t="shared" si="2"/>
        <v>4253.21</v>
      </c>
    </row>
    <row r="17" spans="1:23" x14ac:dyDescent="0.25">
      <c r="A17" s="5" t="s">
        <v>27</v>
      </c>
      <c r="B17" s="6" t="s">
        <v>66</v>
      </c>
      <c r="C17" s="6" t="s">
        <v>86</v>
      </c>
      <c r="D17" s="16">
        <v>8287.5</v>
      </c>
      <c r="E17" s="7"/>
      <c r="F17" s="7"/>
      <c r="G17" s="7">
        <f>37.29+6.22+221.69+36.95</f>
        <v>302.14999999999998</v>
      </c>
      <c r="H17" s="7">
        <v>660</v>
      </c>
      <c r="I17" s="7">
        <v>172</v>
      </c>
      <c r="J17" s="7"/>
      <c r="K17" s="7"/>
      <c r="L17" s="16">
        <f t="shared" si="0"/>
        <v>832</v>
      </c>
      <c r="M17" s="7"/>
      <c r="N17" s="7"/>
      <c r="O17" s="7"/>
      <c r="P17" s="7"/>
      <c r="Q17" s="16">
        <f t="shared" si="1"/>
        <v>9421.65</v>
      </c>
      <c r="R17" s="7">
        <v>1319.21</v>
      </c>
      <c r="S17" s="7">
        <v>608.44000000000005</v>
      </c>
      <c r="T17" s="7">
        <f>22.79</f>
        <v>22.79</v>
      </c>
      <c r="U17" s="7">
        <v>172</v>
      </c>
      <c r="V17" s="16">
        <f t="shared" si="3"/>
        <v>2122.44</v>
      </c>
      <c r="W17" s="16">
        <f t="shared" si="2"/>
        <v>7299.2099999999991</v>
      </c>
    </row>
    <row r="18" spans="1:23" x14ac:dyDescent="0.25">
      <c r="A18" s="5" t="s">
        <v>28</v>
      </c>
      <c r="B18" s="6" t="s">
        <v>67</v>
      </c>
      <c r="C18" s="6" t="s">
        <v>85</v>
      </c>
      <c r="D18" s="16">
        <v>8287.5</v>
      </c>
      <c r="E18" s="7"/>
      <c r="F18" s="7"/>
      <c r="G18" s="7">
        <f>745.88+124.31</f>
        <v>870.19</v>
      </c>
      <c r="H18" s="7">
        <f>660+33</f>
        <v>693</v>
      </c>
      <c r="I18" s="7"/>
      <c r="J18" s="7"/>
      <c r="K18" s="7"/>
      <c r="L18" s="16">
        <f t="shared" si="0"/>
        <v>693</v>
      </c>
      <c r="M18" s="7"/>
      <c r="N18" s="7"/>
      <c r="O18" s="7"/>
      <c r="P18" s="7"/>
      <c r="Q18" s="16">
        <f t="shared" si="1"/>
        <v>9850.69</v>
      </c>
      <c r="R18" s="7">
        <v>1481.68</v>
      </c>
      <c r="S18" s="7">
        <v>608.44000000000005</v>
      </c>
      <c r="T18" s="7">
        <v>24.98</v>
      </c>
      <c r="U18" s="7"/>
      <c r="V18" s="16">
        <f t="shared" si="3"/>
        <v>2115.1</v>
      </c>
      <c r="W18" s="16">
        <f t="shared" si="2"/>
        <v>7735.59</v>
      </c>
    </row>
    <row r="19" spans="1:23" x14ac:dyDescent="0.25">
      <c r="A19" s="5" t="s">
        <v>29</v>
      </c>
      <c r="B19" s="6" t="s">
        <v>60</v>
      </c>
      <c r="C19" s="6" t="s">
        <v>83</v>
      </c>
      <c r="D19" s="16">
        <v>12709.66</v>
      </c>
      <c r="E19" s="7"/>
      <c r="F19" s="7"/>
      <c r="G19" s="7"/>
      <c r="H19" s="7">
        <f>660+99</f>
        <v>759</v>
      </c>
      <c r="I19" s="7"/>
      <c r="J19" s="7">
        <v>589.07000000000005</v>
      </c>
      <c r="K19" s="7"/>
      <c r="L19" s="16">
        <f t="shared" si="0"/>
        <v>1348.0700000000002</v>
      </c>
      <c r="M19" s="7"/>
      <c r="N19" s="7"/>
      <c r="O19" s="7"/>
      <c r="P19" s="7"/>
      <c r="Q19" s="16">
        <f t="shared" si="1"/>
        <v>14057.73</v>
      </c>
      <c r="R19" s="7">
        <v>2458.48</v>
      </c>
      <c r="S19" s="7">
        <v>608.44000000000005</v>
      </c>
      <c r="T19" s="7"/>
      <c r="U19" s="7"/>
      <c r="V19" s="16">
        <f t="shared" si="3"/>
        <v>3066.92</v>
      </c>
      <c r="W19" s="16">
        <f t="shared" si="2"/>
        <v>10990.81</v>
      </c>
    </row>
    <row r="20" spans="1:23" x14ac:dyDescent="0.25">
      <c r="A20" s="5" t="s">
        <v>32</v>
      </c>
      <c r="B20" s="6" t="s">
        <v>70</v>
      </c>
      <c r="C20" s="6" t="s">
        <v>90</v>
      </c>
      <c r="D20" s="16">
        <v>3623.52</v>
      </c>
      <c r="E20" s="7"/>
      <c r="F20" s="7"/>
      <c r="G20" s="7">
        <f>280.82+48.01+121.84+75.11</f>
        <v>525.78</v>
      </c>
      <c r="H20" s="7">
        <f>660+66</f>
        <v>726</v>
      </c>
      <c r="I20" s="7"/>
      <c r="J20" s="7"/>
      <c r="K20" s="7"/>
      <c r="L20" s="16">
        <f t="shared" si="0"/>
        <v>726</v>
      </c>
      <c r="M20" s="7"/>
      <c r="N20" s="7"/>
      <c r="O20" s="7"/>
      <c r="P20" s="7"/>
      <c r="Q20" s="16">
        <f t="shared" si="1"/>
        <v>4875.3</v>
      </c>
      <c r="R20" s="7">
        <v>185.99</v>
      </c>
      <c r="S20" s="7">
        <v>445.59</v>
      </c>
      <c r="T20" s="7">
        <f>98.44+36.24</f>
        <v>134.68</v>
      </c>
      <c r="U20" s="7"/>
      <c r="V20" s="16">
        <f t="shared" si="3"/>
        <v>766.26</v>
      </c>
      <c r="W20" s="16">
        <f t="shared" si="2"/>
        <v>4109.04</v>
      </c>
    </row>
    <row r="21" spans="1:23" x14ac:dyDescent="0.25">
      <c r="A21" s="5" t="s">
        <v>33</v>
      </c>
      <c r="B21" s="6" t="s">
        <v>58</v>
      </c>
      <c r="C21" s="6" t="s">
        <v>81</v>
      </c>
      <c r="D21" s="16">
        <v>3623.52</v>
      </c>
      <c r="E21" s="7"/>
      <c r="F21" s="7"/>
      <c r="G21" s="7"/>
      <c r="H21" s="7">
        <v>660</v>
      </c>
      <c r="I21" s="7"/>
      <c r="J21" s="7">
        <v>446.44</v>
      </c>
      <c r="K21" s="7"/>
      <c r="L21" s="16">
        <f t="shared" si="0"/>
        <v>1106.44</v>
      </c>
      <c r="M21" s="7"/>
      <c r="N21" s="7"/>
      <c r="O21" s="7"/>
      <c r="P21" s="7"/>
      <c r="Q21" s="16">
        <f t="shared" si="1"/>
        <v>4729.96</v>
      </c>
      <c r="R21" s="7">
        <v>120.19</v>
      </c>
      <c r="S21" s="7">
        <v>391.38</v>
      </c>
      <c r="T21" s="7">
        <f>65.53</f>
        <v>65.53</v>
      </c>
      <c r="U21" s="7"/>
      <c r="V21" s="16">
        <f t="shared" si="3"/>
        <v>577.1</v>
      </c>
      <c r="W21" s="16">
        <f t="shared" si="2"/>
        <v>4152.8599999999997</v>
      </c>
    </row>
    <row r="22" spans="1:23" x14ac:dyDescent="0.25">
      <c r="A22" s="5" t="s">
        <v>34</v>
      </c>
      <c r="B22" s="6" t="s">
        <v>67</v>
      </c>
      <c r="C22" s="6" t="s">
        <v>85</v>
      </c>
      <c r="D22" s="16">
        <v>6630</v>
      </c>
      <c r="E22" s="7">
        <f>1657.5+5.55</f>
        <v>1663.05</v>
      </c>
      <c r="F22" s="7"/>
      <c r="G22" s="7"/>
      <c r="H22" s="7">
        <v>528</v>
      </c>
      <c r="I22" s="7"/>
      <c r="J22" s="7">
        <v>424.17</v>
      </c>
      <c r="K22" s="7"/>
      <c r="L22" s="16">
        <f t="shared" si="0"/>
        <v>952.17000000000007</v>
      </c>
      <c r="M22" s="7">
        <v>554.66</v>
      </c>
      <c r="N22" s="7"/>
      <c r="O22" s="7"/>
      <c r="P22" s="7"/>
      <c r="Q22" s="16">
        <f t="shared" si="1"/>
        <v>9799.8799999999992</v>
      </c>
      <c r="R22" s="7">
        <v>841.48</v>
      </c>
      <c r="S22" s="7">
        <f>408.76+199.68</f>
        <v>608.44000000000005</v>
      </c>
      <c r="T22" s="7"/>
      <c r="U22" s="7"/>
      <c r="V22" s="16">
        <f t="shared" si="3"/>
        <v>1449.92</v>
      </c>
      <c r="W22" s="16">
        <f t="shared" si="2"/>
        <v>8349.9599999999991</v>
      </c>
    </row>
    <row r="23" spans="1:23" x14ac:dyDescent="0.25">
      <c r="A23" s="5" t="s">
        <v>110</v>
      </c>
      <c r="B23" s="6" t="s">
        <v>62</v>
      </c>
      <c r="C23" s="6" t="s">
        <v>93</v>
      </c>
      <c r="D23" s="16">
        <v>1348.19</v>
      </c>
      <c r="E23" s="7"/>
      <c r="F23" s="7"/>
      <c r="G23" s="7"/>
      <c r="H23" s="7">
        <v>660</v>
      </c>
      <c r="I23" s="7">
        <v>320</v>
      </c>
      <c r="J23" s="7"/>
      <c r="K23" s="7"/>
      <c r="L23" s="16">
        <f t="shared" si="0"/>
        <v>980</v>
      </c>
      <c r="M23" s="7"/>
      <c r="N23" s="7"/>
      <c r="O23" s="7"/>
      <c r="P23" s="7"/>
      <c r="Q23" s="16">
        <f t="shared" si="1"/>
        <v>2328.19</v>
      </c>
      <c r="R23" s="7"/>
      <c r="S23" s="7"/>
      <c r="T23" s="7"/>
      <c r="U23" s="7"/>
      <c r="V23" s="16">
        <f t="shared" si="3"/>
        <v>0</v>
      </c>
      <c r="W23" s="16">
        <f t="shared" si="2"/>
        <v>2328.19</v>
      </c>
    </row>
    <row r="24" spans="1:23" x14ac:dyDescent="0.25">
      <c r="A24" s="6" t="s">
        <v>132</v>
      </c>
      <c r="B24" s="6" t="s">
        <v>62</v>
      </c>
      <c r="C24" s="6" t="s">
        <v>91</v>
      </c>
      <c r="D24" s="7">
        <v>838.87</v>
      </c>
      <c r="E24" s="7"/>
      <c r="F24" s="7"/>
      <c r="G24" s="7"/>
      <c r="H24" s="7">
        <v>627</v>
      </c>
      <c r="I24" s="7">
        <v>304</v>
      </c>
      <c r="J24" s="7"/>
      <c r="K24" s="7"/>
      <c r="L24" s="16">
        <f t="shared" si="0"/>
        <v>931</v>
      </c>
      <c r="M24" s="16"/>
      <c r="N24" s="7"/>
      <c r="O24" s="7"/>
      <c r="P24" s="7"/>
      <c r="Q24" s="16">
        <f t="shared" si="1"/>
        <v>1769.87</v>
      </c>
      <c r="R24" s="7"/>
      <c r="S24" s="16"/>
      <c r="T24" s="16"/>
      <c r="U24" s="16"/>
      <c r="V24" s="16">
        <f t="shared" si="3"/>
        <v>0</v>
      </c>
      <c r="W24" s="16">
        <f t="shared" si="2"/>
        <v>1769.87</v>
      </c>
    </row>
    <row r="25" spans="1:23" x14ac:dyDescent="0.25">
      <c r="A25" s="5" t="s">
        <v>107</v>
      </c>
      <c r="B25" s="15" t="s">
        <v>71</v>
      </c>
      <c r="C25" s="6" t="s">
        <v>87</v>
      </c>
      <c r="D25" s="16">
        <v>6762.12</v>
      </c>
      <c r="E25" s="7">
        <f>233.18+0.08</f>
        <v>233.26000000000002</v>
      </c>
      <c r="F25" s="7"/>
      <c r="G25" s="7"/>
      <c r="H25" s="7">
        <v>660</v>
      </c>
      <c r="I25" s="7">
        <v>172</v>
      </c>
      <c r="J25" s="7">
        <v>421.59</v>
      </c>
      <c r="K25" s="7"/>
      <c r="L25" s="16">
        <f t="shared" si="0"/>
        <v>1253.5899999999999</v>
      </c>
      <c r="M25" s="7">
        <v>77.760000000000005</v>
      </c>
      <c r="N25" s="7"/>
      <c r="O25" s="7"/>
      <c r="P25" s="7"/>
      <c r="Q25" s="16">
        <f t="shared" si="1"/>
        <v>8326.73</v>
      </c>
      <c r="R25" s="7">
        <v>802.33</v>
      </c>
      <c r="S25" s="7">
        <f>583.56+24.88</f>
        <v>608.43999999999994</v>
      </c>
      <c r="T25" s="7">
        <f>61.79+37.89</f>
        <v>99.68</v>
      </c>
      <c r="U25" s="7">
        <v>172</v>
      </c>
      <c r="V25" s="16">
        <f t="shared" si="3"/>
        <v>1682.45</v>
      </c>
      <c r="W25" s="16">
        <f t="shared" si="2"/>
        <v>6644.28</v>
      </c>
    </row>
    <row r="26" spans="1:23" x14ac:dyDescent="0.25">
      <c r="A26" s="5" t="s">
        <v>133</v>
      </c>
      <c r="B26" s="6" t="s">
        <v>134</v>
      </c>
      <c r="C26" s="6" t="s">
        <v>91</v>
      </c>
      <c r="D26" s="16">
        <v>9677.56</v>
      </c>
      <c r="E26" s="7"/>
      <c r="F26" s="7"/>
      <c r="G26" s="7"/>
      <c r="H26" s="7">
        <v>957</v>
      </c>
      <c r="I26" s="7">
        <v>249.4</v>
      </c>
      <c r="J26" s="7"/>
      <c r="K26" s="7"/>
      <c r="L26" s="16">
        <f t="shared" si="0"/>
        <v>1206.4000000000001</v>
      </c>
      <c r="M26" s="7"/>
      <c r="N26" s="7"/>
      <c r="O26" s="7"/>
      <c r="P26" s="7"/>
      <c r="Q26" s="16">
        <f t="shared" si="1"/>
        <v>10883.96</v>
      </c>
      <c r="R26" s="7">
        <v>1624.65</v>
      </c>
      <c r="S26" s="7">
        <v>608.44000000000005</v>
      </c>
      <c r="T26" s="7">
        <v>322.58999999999997</v>
      </c>
      <c r="U26" s="7">
        <v>172</v>
      </c>
      <c r="V26" s="16">
        <f t="shared" si="3"/>
        <v>2727.6800000000003</v>
      </c>
      <c r="W26" s="16">
        <f t="shared" si="2"/>
        <v>8156.2799999999988</v>
      </c>
    </row>
    <row r="27" spans="1:23" x14ac:dyDescent="0.25">
      <c r="A27" s="5" t="s">
        <v>126</v>
      </c>
      <c r="B27" s="6" t="s">
        <v>62</v>
      </c>
      <c r="C27" s="6" t="s">
        <v>89</v>
      </c>
      <c r="D27" s="16">
        <v>1348.19</v>
      </c>
      <c r="E27" s="7"/>
      <c r="F27" s="7"/>
      <c r="G27" s="7"/>
      <c r="H27" s="7">
        <v>660</v>
      </c>
      <c r="I27" s="7">
        <v>172</v>
      </c>
      <c r="J27" s="7"/>
      <c r="K27" s="7"/>
      <c r="L27" s="16">
        <f t="shared" si="0"/>
        <v>832</v>
      </c>
      <c r="M27" s="7"/>
      <c r="N27" s="7"/>
      <c r="O27" s="7"/>
      <c r="P27" s="7"/>
      <c r="Q27" s="16">
        <f t="shared" si="1"/>
        <v>2180.19</v>
      </c>
      <c r="R27" s="7"/>
      <c r="S27" s="7"/>
      <c r="T27" s="7"/>
      <c r="U27" s="7"/>
      <c r="V27" s="16">
        <f t="shared" si="3"/>
        <v>0</v>
      </c>
      <c r="W27" s="16">
        <f t="shared" si="2"/>
        <v>2180.19</v>
      </c>
    </row>
    <row r="28" spans="1:23" x14ac:dyDescent="0.25">
      <c r="A28" s="11" t="s">
        <v>35</v>
      </c>
      <c r="B28" s="13" t="s">
        <v>59</v>
      </c>
      <c r="C28" s="6" t="s">
        <v>89</v>
      </c>
      <c r="D28" s="16">
        <v>3623.52</v>
      </c>
      <c r="E28" s="7"/>
      <c r="F28" s="7"/>
      <c r="G28" s="7">
        <f>14.49+46.2+10.12</f>
        <v>70.81</v>
      </c>
      <c r="H28" s="7">
        <v>660</v>
      </c>
      <c r="I28" s="7">
        <v>492</v>
      </c>
      <c r="J28" s="7"/>
      <c r="K28" s="7"/>
      <c r="L28" s="16">
        <f t="shared" si="0"/>
        <v>1152</v>
      </c>
      <c r="M28" s="7"/>
      <c r="N28" s="7"/>
      <c r="O28" s="7"/>
      <c r="P28" s="7"/>
      <c r="Q28" s="16">
        <f t="shared" si="1"/>
        <v>4846.33</v>
      </c>
      <c r="R28" s="7">
        <v>133.63999999999999</v>
      </c>
      <c r="S28" s="7">
        <v>402.46</v>
      </c>
      <c r="T28" s="7">
        <f>4.23+31.4</f>
        <v>35.629999999999995</v>
      </c>
      <c r="U28" s="7">
        <v>144.94</v>
      </c>
      <c r="V28" s="16">
        <f t="shared" si="3"/>
        <v>716.66999999999985</v>
      </c>
      <c r="W28" s="16">
        <f t="shared" si="2"/>
        <v>4129.66</v>
      </c>
    </row>
    <row r="29" spans="1:23" x14ac:dyDescent="0.25">
      <c r="A29" s="5" t="s">
        <v>36</v>
      </c>
      <c r="B29" s="6" t="s">
        <v>67</v>
      </c>
      <c r="C29" s="6" t="s">
        <v>85</v>
      </c>
      <c r="D29" s="16">
        <v>5248.75</v>
      </c>
      <c r="E29" s="7">
        <f>3038.75+6.91</f>
        <v>3045.66</v>
      </c>
      <c r="F29" s="7"/>
      <c r="G29" s="7"/>
      <c r="H29" s="7">
        <v>363</v>
      </c>
      <c r="I29" s="7"/>
      <c r="J29" s="7">
        <v>318.41000000000003</v>
      </c>
      <c r="K29" s="7"/>
      <c r="L29" s="16">
        <f t="shared" si="0"/>
        <v>681.41000000000008</v>
      </c>
      <c r="M29" s="7">
        <v>1015.6</v>
      </c>
      <c r="N29" s="7"/>
      <c r="O29" s="7"/>
      <c r="P29" s="7"/>
      <c r="Q29" s="16">
        <f t="shared" si="1"/>
        <v>9991.42</v>
      </c>
      <c r="R29" s="7">
        <f>529.61+187.53</f>
        <v>717.14</v>
      </c>
      <c r="S29" s="7">
        <f>161.57+446.87</f>
        <v>608.44000000000005</v>
      </c>
      <c r="T29" s="7">
        <v>12.49</v>
      </c>
      <c r="U29" s="7"/>
      <c r="V29" s="16">
        <f t="shared" si="3"/>
        <v>1338.07</v>
      </c>
      <c r="W29" s="16">
        <f t="shared" si="2"/>
        <v>8653.35</v>
      </c>
    </row>
    <row r="30" spans="1:23" x14ac:dyDescent="0.25">
      <c r="A30" s="11" t="s">
        <v>119</v>
      </c>
      <c r="B30" s="13" t="s">
        <v>62</v>
      </c>
      <c r="C30" s="6" t="s">
        <v>86</v>
      </c>
      <c r="D30" s="16">
        <v>898.79</v>
      </c>
      <c r="E30" s="7"/>
      <c r="F30" s="7"/>
      <c r="G30" s="7"/>
      <c r="H30" s="7">
        <v>660</v>
      </c>
      <c r="I30" s="7">
        <v>152</v>
      </c>
      <c r="J30" s="7"/>
      <c r="K30" s="7"/>
      <c r="L30" s="16">
        <f t="shared" si="0"/>
        <v>812</v>
      </c>
      <c r="M30" s="7"/>
      <c r="N30" s="7"/>
      <c r="O30" s="7"/>
      <c r="P30" s="7"/>
      <c r="Q30" s="16">
        <f>D30</f>
        <v>898.79</v>
      </c>
      <c r="R30" s="7"/>
      <c r="S30" s="7"/>
      <c r="T30" s="7"/>
      <c r="U30" s="7"/>
      <c r="V30" s="16">
        <f t="shared" si="3"/>
        <v>0</v>
      </c>
      <c r="W30" s="16">
        <f t="shared" si="2"/>
        <v>898.79</v>
      </c>
    </row>
    <row r="31" spans="1:23" x14ac:dyDescent="0.25">
      <c r="A31" s="11" t="s">
        <v>120</v>
      </c>
      <c r="B31" s="13" t="s">
        <v>74</v>
      </c>
      <c r="C31" s="6" t="s">
        <v>84</v>
      </c>
      <c r="D31" s="16">
        <v>12709.66</v>
      </c>
      <c r="E31" s="7"/>
      <c r="F31" s="7"/>
      <c r="G31" s="7"/>
      <c r="H31" s="7">
        <v>660</v>
      </c>
      <c r="I31" s="7">
        <v>172</v>
      </c>
      <c r="J31" s="7"/>
      <c r="K31" s="7"/>
      <c r="L31" s="16">
        <f t="shared" si="0"/>
        <v>832</v>
      </c>
      <c r="M31" s="7"/>
      <c r="N31" s="7"/>
      <c r="O31" s="7"/>
      <c r="P31" s="7"/>
      <c r="Q31" s="16">
        <f>D31+E31+F31+G31+J31+K31+L31+M31+N31+P31</f>
        <v>13541.66</v>
      </c>
      <c r="R31" s="7">
        <v>2458.48</v>
      </c>
      <c r="S31" s="7">
        <v>608.44000000000005</v>
      </c>
      <c r="T31" s="7"/>
      <c r="U31" s="7"/>
      <c r="V31" s="16">
        <f t="shared" si="3"/>
        <v>3066.92</v>
      </c>
      <c r="W31" s="16">
        <f t="shared" si="2"/>
        <v>10474.74</v>
      </c>
    </row>
    <row r="32" spans="1:23" x14ac:dyDescent="0.25">
      <c r="A32" s="5" t="s">
        <v>37</v>
      </c>
      <c r="B32" s="6" t="s">
        <v>66</v>
      </c>
      <c r="C32" s="6" t="s">
        <v>86</v>
      </c>
      <c r="D32" s="16">
        <v>8287.5</v>
      </c>
      <c r="E32" s="10"/>
      <c r="F32" s="7"/>
      <c r="G32" s="7"/>
      <c r="H32" s="7">
        <v>660</v>
      </c>
      <c r="I32" s="7">
        <v>172</v>
      </c>
      <c r="J32" s="7">
        <v>372.31</v>
      </c>
      <c r="K32" s="7"/>
      <c r="L32" s="16">
        <f t="shared" si="0"/>
        <v>1204.31</v>
      </c>
      <c r="M32" s="7"/>
      <c r="N32" s="7"/>
      <c r="O32" s="7"/>
      <c r="P32" s="7"/>
      <c r="Q32" s="16">
        <f t="shared" ref="Q32:Q51" si="4">D32+E32+F32+G32+L32+M32+N32+P32</f>
        <v>9491.81</v>
      </c>
      <c r="R32" s="7">
        <v>1172.8699999999999</v>
      </c>
      <c r="S32" s="7">
        <v>608.44000000000005</v>
      </c>
      <c r="T32" s="7">
        <f>86.33+166.44</f>
        <v>252.76999999999998</v>
      </c>
      <c r="U32" s="7">
        <v>172</v>
      </c>
      <c r="V32" s="16">
        <f t="shared" si="3"/>
        <v>2206.08</v>
      </c>
      <c r="W32" s="16">
        <f t="shared" si="2"/>
        <v>7285.73</v>
      </c>
    </row>
    <row r="33" spans="1:23" x14ac:dyDescent="0.25">
      <c r="A33" s="6" t="s">
        <v>38</v>
      </c>
      <c r="B33" s="6" t="s">
        <v>59</v>
      </c>
      <c r="C33" s="6" t="s">
        <v>89</v>
      </c>
      <c r="D33" s="16">
        <v>3623.52</v>
      </c>
      <c r="E33" s="7"/>
      <c r="F33" s="7"/>
      <c r="G33" s="7">
        <f>6.79+1.13</f>
        <v>7.92</v>
      </c>
      <c r="H33" s="7">
        <v>660</v>
      </c>
      <c r="I33" s="7">
        <v>492</v>
      </c>
      <c r="J33" s="7"/>
      <c r="K33" s="7"/>
      <c r="L33" s="16">
        <f t="shared" si="0"/>
        <v>1152</v>
      </c>
      <c r="M33" s="7"/>
      <c r="N33" s="7"/>
      <c r="O33" s="7"/>
      <c r="P33" s="7"/>
      <c r="Q33" s="16">
        <f t="shared" si="4"/>
        <v>4783.4400000000005</v>
      </c>
      <c r="R33" s="7">
        <v>88.8</v>
      </c>
      <c r="S33" s="7">
        <v>365.51</v>
      </c>
      <c r="T33" s="7">
        <f>117.76+70.05+120.78+12.49</f>
        <v>321.08000000000004</v>
      </c>
      <c r="U33" s="7">
        <v>144.94</v>
      </c>
      <c r="V33" s="16">
        <f t="shared" si="3"/>
        <v>920.33000000000015</v>
      </c>
      <c r="W33" s="16">
        <f t="shared" si="2"/>
        <v>3863.1100000000006</v>
      </c>
    </row>
    <row r="34" spans="1:23" x14ac:dyDescent="0.25">
      <c r="A34" s="6" t="s">
        <v>39</v>
      </c>
      <c r="B34" s="6" t="s">
        <v>72</v>
      </c>
      <c r="C34" s="6" t="s">
        <v>86</v>
      </c>
      <c r="D34" s="16">
        <v>12709.66</v>
      </c>
      <c r="E34" s="7"/>
      <c r="F34" s="7"/>
      <c r="G34" s="7"/>
      <c r="H34" s="7">
        <v>660</v>
      </c>
      <c r="I34" s="7">
        <v>1152.2</v>
      </c>
      <c r="J34" s="7"/>
      <c r="K34" s="7"/>
      <c r="L34" s="16">
        <f t="shared" si="0"/>
        <v>1812.2</v>
      </c>
      <c r="M34" s="7"/>
      <c r="N34" s="7"/>
      <c r="O34" s="7"/>
      <c r="P34" s="7"/>
      <c r="Q34" s="16">
        <f t="shared" si="4"/>
        <v>14521.86</v>
      </c>
      <c r="R34" s="7">
        <v>2458.48</v>
      </c>
      <c r="S34" s="7">
        <v>608.44000000000005</v>
      </c>
      <c r="T34" s="7"/>
      <c r="U34" s="7">
        <v>508.39</v>
      </c>
      <c r="V34" s="16">
        <f t="shared" si="3"/>
        <v>3575.31</v>
      </c>
      <c r="W34" s="16">
        <f t="shared" si="2"/>
        <v>10946.550000000001</v>
      </c>
    </row>
    <row r="35" spans="1:23" x14ac:dyDescent="0.25">
      <c r="A35" s="6" t="s">
        <v>40</v>
      </c>
      <c r="B35" s="6" t="s">
        <v>73</v>
      </c>
      <c r="C35" s="6" t="s">
        <v>83</v>
      </c>
      <c r="D35" s="16">
        <v>3623.52</v>
      </c>
      <c r="E35" s="7"/>
      <c r="F35" s="7"/>
      <c r="G35" s="7"/>
      <c r="H35" s="7">
        <v>660</v>
      </c>
      <c r="I35" s="7">
        <v>340</v>
      </c>
      <c r="J35" s="7">
        <v>351.3</v>
      </c>
      <c r="K35" s="7"/>
      <c r="L35" s="16">
        <f t="shared" si="0"/>
        <v>1351.3</v>
      </c>
      <c r="M35" s="7"/>
      <c r="N35" s="7"/>
      <c r="O35" s="7"/>
      <c r="P35" s="7"/>
      <c r="Q35" s="16">
        <f t="shared" si="4"/>
        <v>4974.82</v>
      </c>
      <c r="R35" s="7">
        <v>119.35</v>
      </c>
      <c r="S35" s="7">
        <v>390.68</v>
      </c>
      <c r="T35" s="7">
        <f>28.99+42.88+12.49</f>
        <v>84.36</v>
      </c>
      <c r="U35" s="7">
        <v>144.94</v>
      </c>
      <c r="V35" s="16">
        <f t="shared" si="3"/>
        <v>739.32999999999993</v>
      </c>
      <c r="W35" s="16">
        <f t="shared" si="2"/>
        <v>4235.49</v>
      </c>
    </row>
    <row r="36" spans="1:23" x14ac:dyDescent="0.25">
      <c r="A36" s="6" t="s">
        <v>41</v>
      </c>
      <c r="B36" s="6" t="s">
        <v>82</v>
      </c>
      <c r="C36" s="6" t="s">
        <v>82</v>
      </c>
      <c r="D36" s="16">
        <v>9677.56</v>
      </c>
      <c r="E36" s="7"/>
      <c r="F36" s="7"/>
      <c r="G36" s="7"/>
      <c r="H36" s="7">
        <v>660</v>
      </c>
      <c r="I36" s="7">
        <v>172</v>
      </c>
      <c r="J36" s="16">
        <v>1236.0899999999999</v>
      </c>
      <c r="K36" s="7"/>
      <c r="L36" s="16">
        <f t="shared" si="0"/>
        <v>2068.09</v>
      </c>
      <c r="M36" s="7"/>
      <c r="N36" s="7"/>
      <c r="O36" s="7"/>
      <c r="P36" s="7"/>
      <c r="Q36" s="16">
        <f t="shared" si="4"/>
        <v>11745.65</v>
      </c>
      <c r="R36" s="7">
        <v>1624.65</v>
      </c>
      <c r="S36" s="7">
        <v>608.44000000000005</v>
      </c>
      <c r="T36" s="7"/>
      <c r="U36" s="7">
        <v>172</v>
      </c>
      <c r="V36" s="16">
        <f t="shared" si="3"/>
        <v>2405.09</v>
      </c>
      <c r="W36" s="16">
        <f t="shared" si="2"/>
        <v>9340.56</v>
      </c>
    </row>
    <row r="37" spans="1:23" x14ac:dyDescent="0.25">
      <c r="A37" s="5" t="s">
        <v>106</v>
      </c>
      <c r="B37" s="6" t="s">
        <v>62</v>
      </c>
      <c r="C37" s="6" t="s">
        <v>91</v>
      </c>
      <c r="D37" s="16">
        <v>1348.19</v>
      </c>
      <c r="E37" s="7"/>
      <c r="F37" s="7"/>
      <c r="G37" s="7"/>
      <c r="H37" s="7">
        <v>660</v>
      </c>
      <c r="I37" s="7">
        <v>152</v>
      </c>
      <c r="J37" s="7"/>
      <c r="K37" s="7"/>
      <c r="L37" s="16">
        <f t="shared" ref="L37:L54" si="5">H37+I37+K37+J37</f>
        <v>812</v>
      </c>
      <c r="M37" s="7"/>
      <c r="N37" s="7"/>
      <c r="O37" s="7"/>
      <c r="P37" s="7"/>
      <c r="Q37" s="16">
        <f t="shared" si="4"/>
        <v>2160.19</v>
      </c>
      <c r="R37" s="7"/>
      <c r="S37" s="7"/>
      <c r="T37" s="7"/>
      <c r="U37" s="7"/>
      <c r="V37" s="16">
        <f t="shared" si="3"/>
        <v>0</v>
      </c>
      <c r="W37" s="16">
        <f t="shared" ref="W37:W54" si="6">Q37-V37</f>
        <v>2160.19</v>
      </c>
    </row>
    <row r="38" spans="1:23" x14ac:dyDescent="0.25">
      <c r="A38" s="6" t="s">
        <v>43</v>
      </c>
      <c r="B38" s="6" t="s">
        <v>76</v>
      </c>
      <c r="C38" s="6" t="s">
        <v>91</v>
      </c>
      <c r="D38" s="16">
        <v>2564.94</v>
      </c>
      <c r="E38" s="7">
        <f>4430.36+287.56+48.09+11.81+96.19</f>
        <v>4874.01</v>
      </c>
      <c r="F38" s="7"/>
      <c r="G38" s="7">
        <f>47.22+55.09+17.05</f>
        <v>119.36</v>
      </c>
      <c r="H38" s="7">
        <v>165</v>
      </c>
      <c r="I38" s="7">
        <v>43</v>
      </c>
      <c r="J38" s="7"/>
      <c r="K38" s="7"/>
      <c r="L38" s="16">
        <f t="shared" si="5"/>
        <v>208</v>
      </c>
      <c r="M38" s="7">
        <v>1564.67</v>
      </c>
      <c r="N38" s="7"/>
      <c r="O38" s="7"/>
      <c r="P38" s="7"/>
      <c r="Q38" s="16">
        <f t="shared" si="4"/>
        <v>9330.98</v>
      </c>
      <c r="R38" s="7">
        <f>57.12+684.45</f>
        <v>741.57</v>
      </c>
      <c r="S38" s="7">
        <v>608.44000000000005</v>
      </c>
      <c r="T38" s="7">
        <f>15.16+3.5</f>
        <v>18.66</v>
      </c>
      <c r="U38" s="7">
        <v>43</v>
      </c>
      <c r="V38" s="16">
        <f t="shared" si="3"/>
        <v>1411.6700000000003</v>
      </c>
      <c r="W38" s="16">
        <f t="shared" si="6"/>
        <v>7919.3099999999995</v>
      </c>
    </row>
    <row r="39" spans="1:23" x14ac:dyDescent="0.25">
      <c r="A39" s="6" t="s">
        <v>44</v>
      </c>
      <c r="B39" s="6" t="s">
        <v>70</v>
      </c>
      <c r="C39" s="6" t="s">
        <v>90</v>
      </c>
      <c r="D39" s="16">
        <v>2415.6799999999998</v>
      </c>
      <c r="E39" s="7">
        <f>1207.84+44.33+2.72</f>
        <v>1254.8899999999999</v>
      </c>
      <c r="F39" s="7"/>
      <c r="G39" s="7">
        <f>64.68+10.78+51.64+250.48+50.35</f>
        <v>427.93</v>
      </c>
      <c r="H39" s="7">
        <f>396+66</f>
        <v>462</v>
      </c>
      <c r="I39" s="7">
        <v>194.4</v>
      </c>
      <c r="J39" s="7">
        <v>424.17</v>
      </c>
      <c r="K39" s="7"/>
      <c r="L39" s="16">
        <f t="shared" si="5"/>
        <v>1080.57</v>
      </c>
      <c r="M39" s="7">
        <v>422.08</v>
      </c>
      <c r="N39" s="7"/>
      <c r="O39" s="7"/>
      <c r="P39" s="7"/>
      <c r="Q39" s="16">
        <f t="shared" si="4"/>
        <v>5601.15</v>
      </c>
      <c r="R39" s="7">
        <f>44.28</f>
        <v>44.28</v>
      </c>
      <c r="S39" s="7">
        <f>346.23+151.95</f>
        <v>498.18</v>
      </c>
      <c r="T39" s="7">
        <f>3.02+12.49</f>
        <v>15.51</v>
      </c>
      <c r="U39" s="7">
        <v>86.96</v>
      </c>
      <c r="V39" s="16">
        <f t="shared" si="3"/>
        <v>644.93000000000006</v>
      </c>
      <c r="W39" s="16">
        <f t="shared" si="6"/>
        <v>4956.2199999999993</v>
      </c>
    </row>
    <row r="40" spans="1:23" x14ac:dyDescent="0.25">
      <c r="A40" s="5" t="s">
        <v>45</v>
      </c>
      <c r="B40" s="6" t="s">
        <v>58</v>
      </c>
      <c r="C40" s="6" t="s">
        <v>81</v>
      </c>
      <c r="D40" s="16">
        <v>3502.74</v>
      </c>
      <c r="E40" s="7">
        <f>120.78+1.16</f>
        <v>121.94</v>
      </c>
      <c r="F40" s="7"/>
      <c r="G40" s="7"/>
      <c r="H40" s="7">
        <v>627</v>
      </c>
      <c r="I40" s="7">
        <v>338.2</v>
      </c>
      <c r="J40" s="7">
        <v>386.21</v>
      </c>
      <c r="K40" s="7"/>
      <c r="L40" s="16">
        <f t="shared" si="5"/>
        <v>1351.41</v>
      </c>
      <c r="M40" s="10">
        <v>40.71</v>
      </c>
      <c r="N40" s="7"/>
      <c r="O40" s="7"/>
      <c r="P40" s="7"/>
      <c r="Q40" s="16">
        <f t="shared" si="4"/>
        <v>5016.8</v>
      </c>
      <c r="R40" s="7">
        <f>109.91</f>
        <v>109.91</v>
      </c>
      <c r="S40" s="7">
        <f>388.39+13.03</f>
        <v>401.41999999999996</v>
      </c>
      <c r="T40" s="7">
        <f>16.31+35.03</f>
        <v>51.34</v>
      </c>
      <c r="U40" s="7">
        <v>137.69</v>
      </c>
      <c r="V40" s="16">
        <f t="shared" si="3"/>
        <v>700.3599999999999</v>
      </c>
      <c r="W40" s="16">
        <f t="shared" si="6"/>
        <v>4316.4400000000005</v>
      </c>
    </row>
    <row r="41" spans="1:23" x14ac:dyDescent="0.25">
      <c r="A41" s="6" t="s">
        <v>46</v>
      </c>
      <c r="B41" s="6" t="s">
        <v>58</v>
      </c>
      <c r="C41" s="6" t="s">
        <v>81</v>
      </c>
      <c r="D41" s="16">
        <v>3623.52</v>
      </c>
      <c r="E41" s="7"/>
      <c r="F41" s="7"/>
      <c r="G41" s="7"/>
      <c r="H41" s="7">
        <v>660</v>
      </c>
      <c r="I41" s="7">
        <v>500</v>
      </c>
      <c r="J41" s="7">
        <v>318.41000000000003</v>
      </c>
      <c r="K41" s="7"/>
      <c r="L41" s="16">
        <f t="shared" si="5"/>
        <v>1478.41</v>
      </c>
      <c r="M41" s="7"/>
      <c r="N41" s="7"/>
      <c r="O41" s="7"/>
      <c r="P41" s="7">
        <v>1680.7</v>
      </c>
      <c r="Q41" s="16">
        <f t="shared" si="4"/>
        <v>6782.63</v>
      </c>
      <c r="R41" s="7">
        <v>399.98</v>
      </c>
      <c r="S41" s="7">
        <v>569.15</v>
      </c>
      <c r="T41" s="7">
        <f>130.14+12.49+36.24</f>
        <v>178.87</v>
      </c>
      <c r="U41" s="7">
        <v>144.94</v>
      </c>
      <c r="V41" s="16">
        <f t="shared" si="3"/>
        <v>1292.94</v>
      </c>
      <c r="W41" s="16">
        <f t="shared" si="6"/>
        <v>5489.6900000000005</v>
      </c>
    </row>
    <row r="42" spans="1:23" x14ac:dyDescent="0.25">
      <c r="A42" s="5" t="s">
        <v>104</v>
      </c>
      <c r="B42" s="6" t="s">
        <v>59</v>
      </c>
      <c r="C42" s="6" t="s">
        <v>89</v>
      </c>
      <c r="D42" s="16">
        <v>3623.52</v>
      </c>
      <c r="E42" s="7"/>
      <c r="F42" s="7"/>
      <c r="G42" s="7"/>
      <c r="H42" s="7">
        <v>660</v>
      </c>
      <c r="I42" s="7">
        <v>356</v>
      </c>
      <c r="J42" s="7">
        <v>268.62</v>
      </c>
      <c r="K42" s="7"/>
      <c r="L42" s="16">
        <f t="shared" si="5"/>
        <v>1284.6199999999999</v>
      </c>
      <c r="M42" s="7"/>
      <c r="N42" s="7"/>
      <c r="O42" s="7"/>
      <c r="P42" s="7"/>
      <c r="Q42" s="16">
        <f t="shared" si="4"/>
        <v>4908.1399999999994</v>
      </c>
      <c r="R42" s="7">
        <v>123.46</v>
      </c>
      <c r="S42" s="7">
        <v>394.07</v>
      </c>
      <c r="T42" s="7">
        <f>13.89+27.18+12.49</f>
        <v>53.56</v>
      </c>
      <c r="U42" s="7">
        <v>144.94</v>
      </c>
      <c r="V42" s="16">
        <f t="shared" si="3"/>
        <v>716.03</v>
      </c>
      <c r="W42" s="16">
        <f t="shared" si="6"/>
        <v>4192.1099999999997</v>
      </c>
    </row>
    <row r="43" spans="1:23" x14ac:dyDescent="0.25">
      <c r="A43" s="6" t="s">
        <v>112</v>
      </c>
      <c r="B43" s="6" t="s">
        <v>66</v>
      </c>
      <c r="C43" s="6" t="s">
        <v>86</v>
      </c>
      <c r="D43" s="16">
        <v>8287.5</v>
      </c>
      <c r="E43" s="7"/>
      <c r="F43" s="7"/>
      <c r="G43" s="7"/>
      <c r="H43" s="7">
        <v>660</v>
      </c>
      <c r="I43" s="7">
        <v>392</v>
      </c>
      <c r="J43" s="7">
        <v>351.3</v>
      </c>
      <c r="K43" s="7">
        <v>260</v>
      </c>
      <c r="L43" s="16">
        <f t="shared" si="5"/>
        <v>1663.3</v>
      </c>
      <c r="M43" s="7"/>
      <c r="N43" s="7"/>
      <c r="O43" s="7"/>
      <c r="P43" s="7"/>
      <c r="Q43" s="16">
        <f t="shared" si="4"/>
        <v>9950.7999999999993</v>
      </c>
      <c r="R43" s="7">
        <v>1188.3399999999999</v>
      </c>
      <c r="S43" s="7">
        <v>608.44000000000005</v>
      </c>
      <c r="T43" s="7">
        <f>6.91</f>
        <v>6.91</v>
      </c>
      <c r="U43" s="7">
        <v>331.5</v>
      </c>
      <c r="V43" s="16">
        <f t="shared" si="3"/>
        <v>2135.19</v>
      </c>
      <c r="W43" s="16">
        <f t="shared" si="6"/>
        <v>7815.6099999999988</v>
      </c>
    </row>
    <row r="44" spans="1:23" x14ac:dyDescent="0.25">
      <c r="A44" s="5" t="s">
        <v>47</v>
      </c>
      <c r="B44" s="6" t="s">
        <v>66</v>
      </c>
      <c r="C44" s="6" t="s">
        <v>86</v>
      </c>
      <c r="D44" s="16">
        <v>8287.5</v>
      </c>
      <c r="E44" s="7"/>
      <c r="F44" s="7"/>
      <c r="G44" s="7"/>
      <c r="H44" s="7">
        <v>660</v>
      </c>
      <c r="I44" s="7"/>
      <c r="J44" s="7">
        <v>351.3</v>
      </c>
      <c r="K44" s="7"/>
      <c r="L44" s="16">
        <f t="shared" si="5"/>
        <v>1011.3</v>
      </c>
      <c r="M44" s="7"/>
      <c r="N44" s="7"/>
      <c r="O44" s="7"/>
      <c r="P44" s="7"/>
      <c r="Q44" s="16">
        <f t="shared" si="4"/>
        <v>9298.7999999999993</v>
      </c>
      <c r="R44" s="7">
        <v>1242.3800000000001</v>
      </c>
      <c r="S44" s="7">
        <v>608.44000000000005</v>
      </c>
      <c r="T44" s="7"/>
      <c r="U44" s="7"/>
      <c r="V44" s="16">
        <f t="shared" si="3"/>
        <v>1850.8200000000002</v>
      </c>
      <c r="W44" s="16">
        <f t="shared" si="6"/>
        <v>7447.98</v>
      </c>
    </row>
    <row r="45" spans="1:23" x14ac:dyDescent="0.25">
      <c r="A45" s="5" t="s">
        <v>48</v>
      </c>
      <c r="B45" s="6" t="s">
        <v>66</v>
      </c>
      <c r="C45" s="6" t="s">
        <v>85</v>
      </c>
      <c r="D45" s="16">
        <v>8287.5</v>
      </c>
      <c r="E45" s="7"/>
      <c r="F45" s="7"/>
      <c r="G45" s="7">
        <f>52.83+8.81</f>
        <v>61.64</v>
      </c>
      <c r="H45" s="7">
        <v>660</v>
      </c>
      <c r="I45" s="7"/>
      <c r="J45" s="7">
        <f>318.41*2</f>
        <v>636.82000000000005</v>
      </c>
      <c r="K45" s="7"/>
      <c r="L45" s="16">
        <f t="shared" si="5"/>
        <v>1296.8200000000002</v>
      </c>
      <c r="M45" s="7"/>
      <c r="N45" s="7"/>
      <c r="O45" s="7"/>
      <c r="P45" s="7"/>
      <c r="Q45" s="16">
        <f t="shared" si="4"/>
        <v>9645.9599999999991</v>
      </c>
      <c r="R45" s="7">
        <v>1257.05</v>
      </c>
      <c r="S45" s="7">
        <v>608.44000000000005</v>
      </c>
      <c r="T45" s="7">
        <f>8.29+12.49</f>
        <v>20.78</v>
      </c>
      <c r="U45" s="7"/>
      <c r="V45" s="16">
        <f t="shared" si="3"/>
        <v>1886.27</v>
      </c>
      <c r="W45" s="16">
        <f t="shared" si="6"/>
        <v>7759.6899999999987</v>
      </c>
    </row>
    <row r="46" spans="1:23" x14ac:dyDescent="0.25">
      <c r="A46" s="5" t="s">
        <v>49</v>
      </c>
      <c r="B46" s="6" t="s">
        <v>58</v>
      </c>
      <c r="C46" s="6" t="s">
        <v>81</v>
      </c>
      <c r="D46" s="16">
        <v>3623.52</v>
      </c>
      <c r="E46" s="7"/>
      <c r="F46" s="7"/>
      <c r="G46" s="7">
        <f>101.91+54.35+26.04</f>
        <v>182.29999999999998</v>
      </c>
      <c r="H46" s="7">
        <v>660</v>
      </c>
      <c r="I46" s="7">
        <v>492</v>
      </c>
      <c r="J46" s="7">
        <v>507.74</v>
      </c>
      <c r="K46" s="7"/>
      <c r="L46" s="16">
        <f t="shared" si="5"/>
        <v>1659.74</v>
      </c>
      <c r="M46" s="7"/>
      <c r="N46" s="7"/>
      <c r="O46" s="7"/>
      <c r="P46" s="7"/>
      <c r="Q46" s="16">
        <f t="shared" si="4"/>
        <v>5465.56</v>
      </c>
      <c r="R46" s="7">
        <v>96.4</v>
      </c>
      <c r="S46" s="7">
        <v>418.64</v>
      </c>
      <c r="T46" s="7">
        <f>37.47+36.24</f>
        <v>73.710000000000008</v>
      </c>
      <c r="U46" s="7">
        <v>144.94</v>
      </c>
      <c r="V46" s="16">
        <f t="shared" si="3"/>
        <v>733.69</v>
      </c>
      <c r="W46" s="16">
        <f t="shared" si="6"/>
        <v>4731.8700000000008</v>
      </c>
    </row>
    <row r="47" spans="1:23" x14ac:dyDescent="0.25">
      <c r="A47" s="5" t="s">
        <v>50</v>
      </c>
      <c r="B47" s="6" t="s">
        <v>122</v>
      </c>
      <c r="C47" s="6" t="s">
        <v>85</v>
      </c>
      <c r="D47" s="16">
        <v>6077.5</v>
      </c>
      <c r="E47" s="7">
        <f>3389.24+25.88+4.31</f>
        <v>3419.43</v>
      </c>
      <c r="F47" s="7"/>
      <c r="G47" s="7"/>
      <c r="H47" s="7">
        <f>495+99</f>
        <v>594</v>
      </c>
      <c r="I47" s="7">
        <v>129</v>
      </c>
      <c r="J47" s="7"/>
      <c r="K47" s="7"/>
      <c r="L47" s="16">
        <f t="shared" si="5"/>
        <v>723</v>
      </c>
      <c r="M47" s="7">
        <v>1139.81</v>
      </c>
      <c r="N47" s="7"/>
      <c r="O47" s="7"/>
      <c r="P47" s="7">
        <v>3242.92</v>
      </c>
      <c r="Q47" s="16">
        <f t="shared" si="4"/>
        <v>14602.66</v>
      </c>
      <c r="R47" s="7">
        <v>1526.43</v>
      </c>
      <c r="S47" s="7">
        <v>608.44000000000005</v>
      </c>
      <c r="T47" s="7"/>
      <c r="U47" s="7">
        <v>129</v>
      </c>
      <c r="V47" s="16">
        <f t="shared" si="3"/>
        <v>2263.87</v>
      </c>
      <c r="W47" s="16">
        <f t="shared" si="6"/>
        <v>12338.79</v>
      </c>
    </row>
    <row r="48" spans="1:23" x14ac:dyDescent="0.25">
      <c r="A48" s="5" t="s">
        <v>51</v>
      </c>
      <c r="B48" s="6" t="s">
        <v>77</v>
      </c>
      <c r="C48" s="6" t="s">
        <v>83</v>
      </c>
      <c r="D48" s="16">
        <v>6762.12</v>
      </c>
      <c r="E48" s="7">
        <f>233.18+1.4</f>
        <v>234.58</v>
      </c>
      <c r="F48" s="7"/>
      <c r="G48" s="7">
        <f>33.23+5.54</f>
        <v>38.769999999999996</v>
      </c>
      <c r="H48" s="7">
        <v>627</v>
      </c>
      <c r="I48" s="7">
        <v>144.4</v>
      </c>
      <c r="J48" s="7">
        <v>351.3</v>
      </c>
      <c r="K48" s="7"/>
      <c r="L48" s="16">
        <f t="shared" si="5"/>
        <v>1122.7</v>
      </c>
      <c r="M48" s="7">
        <v>78.27</v>
      </c>
      <c r="N48" s="7"/>
      <c r="O48" s="7"/>
      <c r="P48" s="7"/>
      <c r="Q48" s="16">
        <f t="shared" si="4"/>
        <v>8236.44</v>
      </c>
      <c r="R48" s="7">
        <v>812.72</v>
      </c>
      <c r="S48" s="7">
        <f>583.39+25.05</f>
        <v>608.43999999999994</v>
      </c>
      <c r="T48" s="7">
        <f>19.24+81.61</f>
        <v>100.85</v>
      </c>
      <c r="U48" s="7">
        <v>144.4</v>
      </c>
      <c r="V48" s="16">
        <f t="shared" si="3"/>
        <v>1666.4099999999999</v>
      </c>
      <c r="W48" s="16">
        <f t="shared" si="6"/>
        <v>6570.0300000000007</v>
      </c>
    </row>
    <row r="49" spans="1:23" x14ac:dyDescent="0.25">
      <c r="A49" s="6" t="s">
        <v>53</v>
      </c>
      <c r="B49" s="6" t="s">
        <v>73</v>
      </c>
      <c r="C49" s="6" t="s">
        <v>83</v>
      </c>
      <c r="D49" s="16">
        <v>3623.52</v>
      </c>
      <c r="E49" s="7"/>
      <c r="F49" s="7"/>
      <c r="G49" s="7">
        <f>13.59+2.27</f>
        <v>15.86</v>
      </c>
      <c r="H49" s="7">
        <v>660</v>
      </c>
      <c r="I49" s="7">
        <v>574</v>
      </c>
      <c r="J49" s="7">
        <v>372.32</v>
      </c>
      <c r="K49" s="7"/>
      <c r="L49" s="16">
        <f t="shared" si="5"/>
        <v>1606.32</v>
      </c>
      <c r="M49" s="7"/>
      <c r="N49" s="7"/>
      <c r="O49" s="7"/>
      <c r="P49" s="7"/>
      <c r="Q49" s="16">
        <f t="shared" si="4"/>
        <v>5245.7</v>
      </c>
      <c r="R49" s="7">
        <v>129</v>
      </c>
      <c r="S49" s="7">
        <v>398.64</v>
      </c>
      <c r="T49" s="7">
        <f>3.32+12.08+36.24</f>
        <v>51.64</v>
      </c>
      <c r="U49" s="7">
        <v>144.94</v>
      </c>
      <c r="V49" s="16">
        <f t="shared" si="3"/>
        <v>724.22</v>
      </c>
      <c r="W49" s="16">
        <f t="shared" si="6"/>
        <v>4521.4799999999996</v>
      </c>
    </row>
    <row r="50" spans="1:23" x14ac:dyDescent="0.25">
      <c r="A50" s="6" t="s">
        <v>54</v>
      </c>
      <c r="B50" s="6" t="s">
        <v>79</v>
      </c>
      <c r="C50" s="6" t="s">
        <v>87</v>
      </c>
      <c r="D50" s="16">
        <v>6995.3</v>
      </c>
      <c r="E50" s="7"/>
      <c r="F50" s="7"/>
      <c r="G50" s="7"/>
      <c r="H50" s="7">
        <v>660</v>
      </c>
      <c r="I50" s="7">
        <v>172</v>
      </c>
      <c r="J50" s="7">
        <v>363.11</v>
      </c>
      <c r="K50" s="7"/>
      <c r="L50" s="16">
        <f t="shared" si="5"/>
        <v>1195.1100000000001</v>
      </c>
      <c r="M50" s="7"/>
      <c r="N50" s="7"/>
      <c r="O50" s="7"/>
      <c r="P50" s="7"/>
      <c r="Q50" s="16">
        <f t="shared" si="4"/>
        <v>8190.41</v>
      </c>
      <c r="R50" s="7">
        <v>887.03</v>
      </c>
      <c r="S50" s="7">
        <v>608.44000000000005</v>
      </c>
      <c r="T50" s="7"/>
      <c r="U50" s="7">
        <v>172</v>
      </c>
      <c r="V50" s="16">
        <f t="shared" si="3"/>
        <v>1667.47</v>
      </c>
      <c r="W50" s="16">
        <f t="shared" si="6"/>
        <v>6522.94</v>
      </c>
    </row>
    <row r="51" spans="1:23" x14ac:dyDescent="0.25">
      <c r="A51" s="5" t="s">
        <v>111</v>
      </c>
      <c r="B51" s="6" t="s">
        <v>62</v>
      </c>
      <c r="C51" s="6" t="s">
        <v>85</v>
      </c>
      <c r="D51" s="16">
        <v>1348.19</v>
      </c>
      <c r="E51" s="7"/>
      <c r="F51" s="7"/>
      <c r="G51" s="7"/>
      <c r="H51" s="7">
        <v>660</v>
      </c>
      <c r="I51" s="7">
        <v>320</v>
      </c>
      <c r="J51" s="7"/>
      <c r="K51" s="7"/>
      <c r="L51" s="16">
        <f t="shared" si="5"/>
        <v>980</v>
      </c>
      <c r="M51" s="7"/>
      <c r="N51" s="7"/>
      <c r="O51" s="7"/>
      <c r="P51" s="7"/>
      <c r="Q51" s="16">
        <f t="shared" si="4"/>
        <v>2328.19</v>
      </c>
      <c r="R51" s="7"/>
      <c r="S51" s="7"/>
      <c r="T51" s="7"/>
      <c r="U51" s="7"/>
      <c r="V51" s="16">
        <f t="shared" si="3"/>
        <v>0</v>
      </c>
      <c r="W51" s="16">
        <f t="shared" si="6"/>
        <v>2328.19</v>
      </c>
    </row>
    <row r="52" spans="1:23" x14ac:dyDescent="0.25">
      <c r="A52" s="5" t="s">
        <v>55</v>
      </c>
      <c r="B52" s="6" t="s">
        <v>58</v>
      </c>
      <c r="C52" s="6" t="s">
        <v>85</v>
      </c>
      <c r="D52" s="16">
        <v>3623.52</v>
      </c>
      <c r="E52" s="7"/>
      <c r="F52" s="7"/>
      <c r="G52" s="7"/>
      <c r="H52" s="7">
        <f>660+2112</f>
        <v>2772</v>
      </c>
      <c r="I52" s="7"/>
      <c r="J52" s="7">
        <v>351.3</v>
      </c>
      <c r="K52" s="7"/>
      <c r="L52" s="16">
        <f t="shared" si="5"/>
        <v>3123.3</v>
      </c>
      <c r="M52" s="7"/>
      <c r="N52" s="7"/>
      <c r="O52" s="7">
        <v>500</v>
      </c>
      <c r="P52" s="7"/>
      <c r="Q52" s="16">
        <f>D52+E52+F52+G52+L52+M52+N52+P52+O52</f>
        <v>7246.82</v>
      </c>
      <c r="R52" s="7">
        <v>128.94</v>
      </c>
      <c r="S52" s="7">
        <v>398.59</v>
      </c>
      <c r="T52" s="7">
        <f>12.49+36.24</f>
        <v>48.730000000000004</v>
      </c>
      <c r="U52" s="7"/>
      <c r="V52" s="16">
        <f t="shared" si="3"/>
        <v>576.26</v>
      </c>
      <c r="W52" s="16">
        <f t="shared" si="6"/>
        <v>6670.5599999999995</v>
      </c>
    </row>
    <row r="53" spans="1:23" x14ac:dyDescent="0.25">
      <c r="A53" s="6" t="s">
        <v>56</v>
      </c>
      <c r="B53" s="6" t="s">
        <v>121</v>
      </c>
      <c r="C53" s="6" t="s">
        <v>89</v>
      </c>
      <c r="D53" s="16">
        <v>6995.3</v>
      </c>
      <c r="E53" s="7"/>
      <c r="F53" s="7"/>
      <c r="G53" s="7"/>
      <c r="H53" s="7">
        <f>660+66</f>
        <v>726</v>
      </c>
      <c r="I53" s="7">
        <v>320</v>
      </c>
      <c r="J53" s="7"/>
      <c r="K53" s="7"/>
      <c r="L53" s="16">
        <f t="shared" si="5"/>
        <v>1046</v>
      </c>
      <c r="M53" s="7"/>
      <c r="N53" s="7"/>
      <c r="O53" s="7"/>
      <c r="P53" s="7">
        <v>5714.36</v>
      </c>
      <c r="Q53" s="16">
        <f>D53+E53+F53+G53+L53+M53+N53+P53</f>
        <v>13755.66</v>
      </c>
      <c r="R53" s="7">
        <v>2458.48</v>
      </c>
      <c r="S53" s="7">
        <v>608.44000000000005</v>
      </c>
      <c r="T53" s="7"/>
      <c r="U53" s="7"/>
      <c r="V53" s="16">
        <f t="shared" si="3"/>
        <v>3066.92</v>
      </c>
      <c r="W53" s="16">
        <f t="shared" si="6"/>
        <v>10688.74</v>
      </c>
    </row>
    <row r="54" spans="1:23" x14ac:dyDescent="0.25">
      <c r="A54" s="5" t="s">
        <v>127</v>
      </c>
      <c r="B54" s="6" t="s">
        <v>62</v>
      </c>
      <c r="C54" s="6" t="s">
        <v>87</v>
      </c>
      <c r="D54" s="16">
        <v>1348.49</v>
      </c>
      <c r="E54" s="7"/>
      <c r="F54" s="7"/>
      <c r="G54" s="7"/>
      <c r="H54" s="7">
        <v>660</v>
      </c>
      <c r="I54" s="7">
        <v>320</v>
      </c>
      <c r="J54" s="7"/>
      <c r="K54" s="7"/>
      <c r="L54" s="16">
        <f t="shared" si="5"/>
        <v>980</v>
      </c>
      <c r="M54" s="7"/>
      <c r="N54" s="7"/>
      <c r="O54" s="7"/>
      <c r="P54" s="7"/>
      <c r="Q54" s="16">
        <f>D54+E54+F54+G54+L54+M54+N54+P54</f>
        <v>2328.4899999999998</v>
      </c>
      <c r="R54" s="7"/>
      <c r="S54" s="7"/>
      <c r="T54" s="7"/>
      <c r="U54" s="7"/>
      <c r="V54" s="16">
        <f t="shared" si="3"/>
        <v>0</v>
      </c>
      <c r="W54" s="16">
        <f t="shared" si="6"/>
        <v>2328.4899999999998</v>
      </c>
    </row>
    <row r="55" spans="1:23" hidden="1" x14ac:dyDescent="0.25">
      <c r="H55" s="1">
        <f>SUM(H5:H54)</f>
        <v>33198</v>
      </c>
      <c r="I55" s="1">
        <f>SUM(I5:I54)</f>
        <v>11397.599999999999</v>
      </c>
      <c r="J55" s="1">
        <f>SUM(J5:J54)</f>
        <v>11704.879999999997</v>
      </c>
      <c r="K55" s="1"/>
      <c r="L55" s="1"/>
      <c r="Q55" s="3"/>
      <c r="W55" s="1">
        <f>SUM(W5:W54)</f>
        <v>284824.31999999995</v>
      </c>
    </row>
    <row r="56" spans="1:23" x14ac:dyDescent="0.25">
      <c r="H56" s="1"/>
      <c r="I56" s="1"/>
      <c r="J56" s="1"/>
      <c r="K56" s="1"/>
      <c r="L56" s="1"/>
      <c r="Q56" s="3"/>
      <c r="W56" s="1"/>
    </row>
    <row r="57" spans="1:23" x14ac:dyDescent="0.25">
      <c r="Q57" s="3"/>
    </row>
    <row r="58" spans="1:23" ht="19.5" x14ac:dyDescent="0.3">
      <c r="A58" s="17" t="s">
        <v>95</v>
      </c>
      <c r="Q58" s="3"/>
    </row>
    <row r="59" spans="1:23" ht="19.5" x14ac:dyDescent="0.25">
      <c r="A59" s="20" t="s">
        <v>0</v>
      </c>
      <c r="B59" s="21" t="s">
        <v>1</v>
      </c>
      <c r="C59" s="21" t="s">
        <v>2</v>
      </c>
      <c r="D59" s="21" t="s">
        <v>98</v>
      </c>
      <c r="E59" s="21" t="s">
        <v>97</v>
      </c>
      <c r="F59" s="21" t="s">
        <v>10</v>
      </c>
      <c r="G59" s="20" t="s">
        <v>11</v>
      </c>
      <c r="H59" s="18"/>
      <c r="I59" s="18"/>
      <c r="J59" s="18"/>
      <c r="K59" s="18"/>
      <c r="L59" s="21" t="s">
        <v>96</v>
      </c>
      <c r="M59" s="19"/>
      <c r="N59" s="19"/>
      <c r="O59" s="19"/>
      <c r="P59" s="19"/>
      <c r="Q59" s="19"/>
      <c r="R59" s="19"/>
      <c r="S59" s="19"/>
      <c r="T59" s="19"/>
      <c r="U59" s="19"/>
    </row>
    <row r="60" spans="1:23" x14ac:dyDescent="0.25">
      <c r="A60" s="6" t="s">
        <v>43</v>
      </c>
      <c r="B60" s="6" t="s">
        <v>76</v>
      </c>
      <c r="C60" s="6" t="s">
        <v>91</v>
      </c>
      <c r="D60" s="16">
        <v>3751.61</v>
      </c>
      <c r="Q60" s="3"/>
    </row>
    <row r="61" spans="1:23" x14ac:dyDescent="0.25">
      <c r="Q61" s="3"/>
    </row>
    <row r="62" spans="1:23" x14ac:dyDescent="0.25">
      <c r="Q62" s="3"/>
    </row>
    <row r="63" spans="1:23" x14ac:dyDescent="0.25">
      <c r="Q63" s="3"/>
    </row>
    <row r="64" spans="1:23" x14ac:dyDescent="0.25">
      <c r="Q64" s="3"/>
    </row>
    <row r="65" spans="17:17" x14ac:dyDescent="0.25">
      <c r="Q65" s="3"/>
    </row>
    <row r="66" spans="17:17" x14ac:dyDescent="0.25">
      <c r="Q66" s="3"/>
    </row>
    <row r="67" spans="17:17" x14ac:dyDescent="0.25">
      <c r="Q67" s="3"/>
    </row>
    <row r="68" spans="17:17" x14ac:dyDescent="0.25">
      <c r="Q68" s="3"/>
    </row>
    <row r="69" spans="17:17" x14ac:dyDescent="0.25">
      <c r="Q69" s="3"/>
    </row>
    <row r="70" spans="17:17" x14ac:dyDescent="0.25">
      <c r="Q70" s="3"/>
    </row>
    <row r="71" spans="17:17" x14ac:dyDescent="0.25">
      <c r="Q71" s="3"/>
    </row>
    <row r="72" spans="17:17" x14ac:dyDescent="0.25">
      <c r="Q72" s="3"/>
    </row>
    <row r="73" spans="17:17" x14ac:dyDescent="0.25">
      <c r="Q73" s="3"/>
    </row>
    <row r="74" spans="17:17" x14ac:dyDescent="0.25">
      <c r="Q74" s="3"/>
    </row>
    <row r="75" spans="17:17" x14ac:dyDescent="0.25">
      <c r="Q75" s="3"/>
    </row>
    <row r="76" spans="17:17" x14ac:dyDescent="0.25">
      <c r="Q76" s="3"/>
    </row>
    <row r="77" spans="17:17" x14ac:dyDescent="0.25">
      <c r="Q77" s="3"/>
    </row>
    <row r="78" spans="17:17" x14ac:dyDescent="0.25">
      <c r="Q78" s="3"/>
    </row>
    <row r="79" spans="17:17" x14ac:dyDescent="0.25">
      <c r="Q79" s="3"/>
    </row>
    <row r="80" spans="17:17" x14ac:dyDescent="0.25">
      <c r="Q80" s="3"/>
    </row>
    <row r="81" spans="17:17" x14ac:dyDescent="0.25">
      <c r="Q81" s="3"/>
    </row>
    <row r="82" spans="17:17" x14ac:dyDescent="0.25">
      <c r="Q82" s="3"/>
    </row>
    <row r="83" spans="17:17" x14ac:dyDescent="0.25">
      <c r="Q83" s="3"/>
    </row>
    <row r="84" spans="17:17" x14ac:dyDescent="0.25">
      <c r="Q84" s="3"/>
    </row>
    <row r="85" spans="17:17" x14ac:dyDescent="0.25">
      <c r="Q85" s="3"/>
    </row>
    <row r="86" spans="17:17" x14ac:dyDescent="0.25">
      <c r="Q86" s="3"/>
    </row>
    <row r="87" spans="17:17" x14ac:dyDescent="0.25">
      <c r="Q87" s="3"/>
    </row>
    <row r="88" spans="17:17" x14ac:dyDescent="0.25">
      <c r="Q88" s="3"/>
    </row>
    <row r="89" spans="17:17" x14ac:dyDescent="0.25">
      <c r="Q89" s="3"/>
    </row>
    <row r="90" spans="17:17" x14ac:dyDescent="0.25">
      <c r="Q90" s="3"/>
    </row>
    <row r="91" spans="17:17" x14ac:dyDescent="0.25">
      <c r="Q91" s="3"/>
    </row>
    <row r="92" spans="17:17" x14ac:dyDescent="0.25">
      <c r="Q92" s="3"/>
    </row>
    <row r="93" spans="17:17" x14ac:dyDescent="0.25">
      <c r="Q93" s="3"/>
    </row>
    <row r="94" spans="17:17" x14ac:dyDescent="0.25">
      <c r="Q94" s="3"/>
    </row>
    <row r="95" spans="17:17" x14ac:dyDescent="0.25">
      <c r="Q95" s="3"/>
    </row>
    <row r="96" spans="17:17" x14ac:dyDescent="0.25">
      <c r="Q96" s="3"/>
    </row>
    <row r="97" spans="17:17" x14ac:dyDescent="0.25">
      <c r="Q97" s="3"/>
    </row>
    <row r="98" spans="17:17" x14ac:dyDescent="0.25">
      <c r="Q98" s="3"/>
    </row>
    <row r="99" spans="17:17" x14ac:dyDescent="0.25">
      <c r="Q99" s="3"/>
    </row>
    <row r="100" spans="17:17" x14ac:dyDescent="0.25">
      <c r="Q100" s="3"/>
    </row>
    <row r="101" spans="17:17" x14ac:dyDescent="0.25">
      <c r="Q101" s="3"/>
    </row>
    <row r="102" spans="17:17" x14ac:dyDescent="0.25">
      <c r="Q102" s="3"/>
    </row>
    <row r="103" spans="17:17" x14ac:dyDescent="0.25">
      <c r="Q103" s="3"/>
    </row>
    <row r="104" spans="17:17" x14ac:dyDescent="0.25">
      <c r="Q104" s="3"/>
    </row>
    <row r="105" spans="17:17" x14ac:dyDescent="0.25">
      <c r="Q105" s="3"/>
    </row>
    <row r="106" spans="17:17" x14ac:dyDescent="0.25">
      <c r="Q106" s="3"/>
    </row>
    <row r="107" spans="17:17" x14ac:dyDescent="0.25">
      <c r="Q107" s="3"/>
    </row>
    <row r="108" spans="17:17" x14ac:dyDescent="0.25">
      <c r="Q108" s="3"/>
    </row>
    <row r="109" spans="17:17" x14ac:dyDescent="0.25">
      <c r="Q109" s="3"/>
    </row>
    <row r="110" spans="17:17" x14ac:dyDescent="0.25">
      <c r="Q110" s="3"/>
    </row>
    <row r="111" spans="17:17" x14ac:dyDescent="0.25">
      <c r="Q111" s="3"/>
    </row>
    <row r="112" spans="17:17" x14ac:dyDescent="0.25">
      <c r="Q112" s="3"/>
    </row>
    <row r="113" spans="17:17" x14ac:dyDescent="0.25">
      <c r="Q113" s="3"/>
    </row>
    <row r="114" spans="17:17" x14ac:dyDescent="0.25">
      <c r="Q114" s="3"/>
    </row>
  </sheetData>
  <autoFilter ref="A4:W60"/>
  <sortState ref="A5:W54">
    <sortCondition ref="A4"/>
  </sortState>
  <pageMargins left="0.51181102362204722" right="0.51181102362204722" top="0.78740157480314965" bottom="0.78740157480314965" header="0.31496062992125984" footer="0.31496062992125984"/>
  <pageSetup paperSize="9" scale="34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Suelen Araujo</cp:lastModifiedBy>
  <cp:lastPrinted>2018-01-24T18:39:08Z</cp:lastPrinted>
  <dcterms:created xsi:type="dcterms:W3CDTF">2016-05-03T12:35:45Z</dcterms:created>
  <dcterms:modified xsi:type="dcterms:W3CDTF">2018-04-03T15:36:08Z</dcterms:modified>
</cp:coreProperties>
</file>